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5000" windowHeight="5895"/>
  </bookViews>
  <sheets>
    <sheet name="Instrukcja" sheetId="7" r:id="rId1"/>
    <sheet name="Podsumowanie" sheetId="5" r:id="rId2"/>
    <sheet name="Założenia" sheetId="4" r:id="rId3"/>
  </sheets>
  <externalReferences>
    <externalReference r:id="rId4"/>
  </externalReferences>
  <definedNames>
    <definedName name="Category" localSheetId="0">#REF!</definedName>
    <definedName name="Category">#REF!</definedName>
    <definedName name="ProjectTYpe" localSheetId="0">[1]Summary!$M$1:$M$1</definedName>
    <definedName name="ProjectTYpe">Podsumowanie!#REF!</definedName>
    <definedName name="Type">#REF!</definedName>
    <definedName name="_xlnm.Print_Titles" localSheetId="1">Podsumowanie!$23:$23</definedName>
    <definedName name="_xlnm.Print_Titles" localSheetId="2">Założenia!$27:$27</definedName>
  </definedNames>
  <calcPr calcId="114210" fullCalcOnLoad="1"/>
</workbook>
</file>

<file path=xl/calcChain.xml><?xml version="1.0" encoding="utf-8"?>
<calcChain xmlns="http://schemas.openxmlformats.org/spreadsheetml/2006/main">
  <c r="C58" i="5"/>
  <c r="C39" i="4"/>
  <c r="C38"/>
  <c r="E27" i="5"/>
  <c r="E28"/>
  <c r="G28"/>
  <c r="D28"/>
  <c r="I39" i="4"/>
  <c r="I38"/>
  <c r="H38"/>
  <c r="H15"/>
  <c r="F63"/>
  <c r="D63"/>
  <c r="H22"/>
  <c r="H23"/>
  <c r="F134"/>
  <c r="F135"/>
  <c r="F133"/>
  <c r="D132"/>
  <c r="F130"/>
  <c r="F129"/>
  <c r="F128"/>
  <c r="F127"/>
  <c r="F126"/>
  <c r="F124"/>
  <c r="F123"/>
  <c r="F121"/>
  <c r="F122"/>
  <c r="F120"/>
  <c r="F117"/>
  <c r="F118"/>
  <c r="F116"/>
  <c r="F114"/>
  <c r="F113"/>
  <c r="F111"/>
  <c r="F112"/>
  <c r="F110"/>
  <c r="D105"/>
  <c r="F97"/>
  <c r="F98"/>
  <c r="F99"/>
  <c r="F100"/>
  <c r="F101"/>
  <c r="F96"/>
  <c r="F88"/>
  <c r="D88"/>
  <c r="F90"/>
  <c r="F91"/>
  <c r="F89"/>
  <c r="F42" i="5"/>
  <c r="F84" i="4"/>
  <c r="F83"/>
  <c r="F81"/>
  <c r="F82"/>
  <c r="F80"/>
  <c r="D74"/>
  <c r="D75"/>
  <c r="D76"/>
  <c r="D73"/>
  <c r="F57"/>
  <c r="F37" i="5"/>
  <c r="F58" i="4"/>
  <c r="F59"/>
  <c r="F60"/>
  <c r="F61"/>
  <c r="D66"/>
  <c r="F69"/>
  <c r="F68"/>
  <c r="F33" i="5"/>
  <c r="F26"/>
  <c r="C11" i="4"/>
  <c r="C10"/>
  <c r="C70" i="5"/>
  <c r="C72"/>
  <c r="D21"/>
  <c r="F32"/>
  <c r="F62" i="4"/>
  <c r="D62"/>
  <c r="F64"/>
  <c r="D64"/>
  <c r="D19" i="5"/>
  <c r="C71"/>
  <c r="D20"/>
  <c r="C12" i="4"/>
  <c r="C14"/>
  <c r="F70"/>
  <c r="C13"/>
  <c r="J65" i="5"/>
  <c r="F71" i="4"/>
  <c r="D53"/>
  <c r="D52"/>
  <c r="F108"/>
  <c r="F107"/>
  <c r="F106"/>
  <c r="C9"/>
  <c r="E93"/>
  <c r="D93"/>
  <c r="E44" i="5"/>
  <c r="E94" i="4"/>
  <c r="D94"/>
  <c r="E45" i="5"/>
  <c r="E92" i="4"/>
  <c r="D92"/>
  <c r="F44" i="5"/>
  <c r="F45"/>
  <c r="F77" i="4"/>
  <c r="F78"/>
  <c r="G45" i="5"/>
  <c r="D45"/>
  <c r="G44"/>
  <c r="D44"/>
  <c r="D57" i="4"/>
  <c r="F67"/>
  <c r="D69"/>
  <c r="C6"/>
  <c r="F38" i="5"/>
  <c r="C7" i="4"/>
  <c r="C8"/>
  <c r="C76" i="5"/>
  <c r="F49"/>
  <c r="C78"/>
  <c r="F43"/>
  <c r="F54"/>
  <c r="F36"/>
  <c r="F46"/>
  <c r="D48" i="4"/>
  <c r="C79" i="5"/>
  <c r="C20"/>
  <c r="D84" i="4"/>
  <c r="D83"/>
  <c r="F50" i="5"/>
  <c r="E35" i="4"/>
  <c r="D35"/>
  <c r="D124"/>
  <c r="D123"/>
  <c r="D130"/>
  <c r="D129"/>
  <c r="D114"/>
  <c r="D113"/>
  <c r="D61"/>
  <c r="D46"/>
  <c r="D45"/>
  <c r="D107"/>
  <c r="D108"/>
  <c r="D106"/>
  <c r="D110"/>
  <c r="D111"/>
  <c r="D112"/>
  <c r="D116"/>
  <c r="D117"/>
  <c r="D118"/>
  <c r="D120"/>
  <c r="D121"/>
  <c r="D122"/>
  <c r="D126"/>
  <c r="D127"/>
  <c r="D128"/>
  <c r="D133"/>
  <c r="D134"/>
  <c r="D135"/>
  <c r="D97"/>
  <c r="D98"/>
  <c r="D99"/>
  <c r="D100"/>
  <c r="D101"/>
  <c r="D96"/>
  <c r="D71"/>
  <c r="D70"/>
  <c r="D68"/>
  <c r="D67"/>
  <c r="D90"/>
  <c r="D91"/>
  <c r="D89"/>
  <c r="D78"/>
  <c r="D77"/>
  <c r="D82"/>
  <c r="D81"/>
  <c r="D80"/>
  <c r="D60"/>
  <c r="D59"/>
  <c r="D58"/>
  <c r="D50"/>
  <c r="E39"/>
  <c r="D39"/>
  <c r="E38"/>
  <c r="D38"/>
  <c r="D36"/>
  <c r="I43"/>
  <c r="D42"/>
  <c r="E31"/>
  <c r="D31"/>
  <c r="D41"/>
  <c r="D34"/>
  <c r="D33"/>
  <c r="E30"/>
  <c r="D30"/>
  <c r="C56"/>
  <c r="C80" i="5"/>
  <c r="C21"/>
  <c r="C19"/>
  <c r="C44" i="4"/>
  <c r="C72"/>
  <c r="C29"/>
  <c r="C32"/>
  <c r="C49"/>
  <c r="E33" i="5"/>
  <c r="G33"/>
  <c r="D33"/>
  <c r="C87" i="4"/>
  <c r="C104"/>
  <c r="C95"/>
  <c r="C125"/>
  <c r="C65"/>
  <c r="E36" i="5"/>
  <c r="C131" i="4"/>
  <c r="C119"/>
  <c r="C115"/>
  <c r="C109"/>
  <c r="C79"/>
  <c r="F51" i="5"/>
  <c r="C47" i="4"/>
  <c r="E32" i="5"/>
  <c r="G32"/>
  <c r="D32"/>
  <c r="C51" i="4"/>
  <c r="D43"/>
  <c r="C40"/>
  <c r="E43" i="5"/>
  <c r="G43"/>
  <c r="D43"/>
  <c r="E26"/>
  <c r="G26"/>
  <c r="D26"/>
  <c r="E39"/>
  <c r="E46"/>
  <c r="G46"/>
  <c r="D46"/>
  <c r="E53"/>
  <c r="E54"/>
  <c r="G54"/>
  <c r="D54"/>
  <c r="E31"/>
  <c r="E37"/>
  <c r="G37"/>
  <c r="D37"/>
  <c r="E29"/>
  <c r="G29"/>
  <c r="D29"/>
  <c r="G27"/>
  <c r="D27"/>
  <c r="E42"/>
  <c r="G42"/>
  <c r="D42"/>
  <c r="G36"/>
  <c r="D36"/>
  <c r="E51"/>
  <c r="G51"/>
  <c r="D51"/>
  <c r="E52"/>
  <c r="E49"/>
  <c r="G49"/>
  <c r="D49"/>
  <c r="E38"/>
  <c r="G38"/>
  <c r="D38"/>
  <c r="E50"/>
  <c r="G50"/>
  <c r="D50"/>
  <c r="E30"/>
  <c r="G30"/>
  <c r="D30"/>
  <c r="E25"/>
  <c r="G25"/>
  <c r="D25"/>
  <c r="F39"/>
  <c r="F52"/>
  <c r="C41"/>
  <c r="G39"/>
  <c r="D39"/>
  <c r="C35"/>
  <c r="G52"/>
  <c r="D52"/>
  <c r="F31"/>
  <c r="G31"/>
  <c r="D31"/>
  <c r="F53"/>
  <c r="G53"/>
  <c r="C24"/>
  <c r="D53"/>
  <c r="C48"/>
  <c r="C57"/>
  <c r="C61"/>
  <c r="C63"/>
  <c r="E20"/>
  <c r="C62"/>
  <c r="J64"/>
  <c r="C64"/>
  <c r="E21"/>
  <c r="E19"/>
</calcChain>
</file>

<file path=xl/sharedStrings.xml><?xml version="1.0" encoding="utf-8"?>
<sst xmlns="http://schemas.openxmlformats.org/spreadsheetml/2006/main" count="384" uniqueCount="286">
  <si>
    <t>BA support through remainder of project</t>
  </si>
  <si>
    <t>BA Requirements effort cost</t>
  </si>
  <si>
    <t>#</t>
  </si>
  <si>
    <t>Model</t>
  </si>
  <si>
    <t xml:space="preserve"> </t>
  </si>
  <si>
    <t>Dane wejściowe</t>
  </si>
  <si>
    <t>Ilość</t>
  </si>
  <si>
    <t>Element</t>
  </si>
  <si>
    <t>Liczba programistów</t>
  </si>
  <si>
    <t>Standard</t>
  </si>
  <si>
    <t>Czas trwania projektu (w tygodniach)</t>
  </si>
  <si>
    <t>Czas prac nad wymaganiami (w tygodniach)</t>
  </si>
  <si>
    <t>Czy zespół pracuje zdalnie?</t>
  </si>
  <si>
    <t>Łączny budżet projektu</t>
  </si>
  <si>
    <t xml:space="preserve">Uśredniony koszt 1 godziny pracy analityka </t>
  </si>
  <si>
    <t>*Bez uwzględnienia czasu wolnego</t>
  </si>
  <si>
    <t>Nie</t>
  </si>
  <si>
    <t>Raporty</t>
  </si>
  <si>
    <t>Liczba analityków biznesowych</t>
  </si>
  <si>
    <t>Sumaryczne porównanie łącznych nakładów</t>
  </si>
  <si>
    <t>% całości projektu</t>
  </si>
  <si>
    <t>Programiści/analitycy</t>
  </si>
  <si>
    <t>Budżet analityka na czas trwania projektu</t>
  </si>
  <si>
    <t>Budżet analityka na opracowanie wymagań</t>
  </si>
  <si>
    <t>Typ projektu (standard albo z półki)</t>
  </si>
  <si>
    <t>W oparciu o aktywność</t>
  </si>
  <si>
    <t>Ekrany/Interfejsy użytkownika</t>
  </si>
  <si>
    <t>Diagramy danych biznesowych</t>
  </si>
  <si>
    <t>Przepływy procesów i/lub przypadki użycia</t>
  </si>
  <si>
    <t>Interesariusze</t>
  </si>
  <si>
    <t>Aktualizowane lub zastępowane istniejące systemy</t>
  </si>
  <si>
    <t>Liczba stron dokumentacji poddawana ocenie</t>
  </si>
  <si>
    <t>Współdziałające systemy - małe</t>
  </si>
  <si>
    <t>Współdziałające systemy - średnie</t>
  </si>
  <si>
    <t>Współdziałające systemy - duże</t>
  </si>
  <si>
    <t>Ważne podsumowania</t>
  </si>
  <si>
    <t>Ciemnoszare komórki są obliczane, ale można je nadpisać</t>
  </si>
  <si>
    <t>Uwagi</t>
  </si>
  <si>
    <t>W komórkach żółtych należy wprowadzić wartości specyficzne dla danego projektu</t>
  </si>
  <si>
    <t>Oszacowania</t>
  </si>
  <si>
    <t>Kategoria</t>
  </si>
  <si>
    <t>Czynność</t>
  </si>
  <si>
    <t>Godziny</t>
  </si>
  <si>
    <t>Jednostki</t>
  </si>
  <si>
    <t>Minuty</t>
  </si>
  <si>
    <t>Godziny na
kategorię</t>
  </si>
  <si>
    <t>Minuty na
jednostkę</t>
  </si>
  <si>
    <t>Jasnoszare komórki oznaczają "nie dotyczy" lub zawierają odwołania do komórek żółtych i zwykle nie potrzeba ich edytować</t>
  </si>
  <si>
    <t>Łączne nakłady</t>
  </si>
  <si>
    <t>Początek projektu i zarządzanie</t>
  </si>
  <si>
    <t>Architektura wymagań</t>
  </si>
  <si>
    <t>Rozpoczęcie projektu</t>
  </si>
  <si>
    <t>Łącza śledzenia</t>
  </si>
  <si>
    <t>Przegląd istniejącej dokumentacji</t>
  </si>
  <si>
    <t>Organizacja repozytorium wymagań</t>
  </si>
  <si>
    <t>Skorzystano z podanego powyżej czasu pracy nad wymaganiami</t>
  </si>
  <si>
    <t>nie dot.</t>
  </si>
  <si>
    <t>Przepływy procesów i przypadki użycia</t>
  </si>
  <si>
    <t>Skorzystano z podanej powyżej liczby ekranów</t>
  </si>
  <si>
    <t>Praca nad wymaganiami</t>
  </si>
  <si>
    <t>Tabele stanów</t>
  </si>
  <si>
    <t>Diagramy stanów</t>
  </si>
  <si>
    <t>Tabele z raportami</t>
  </si>
  <si>
    <t>Słowniki danych</t>
  </si>
  <si>
    <t>Diagramy przepływu danych</t>
  </si>
  <si>
    <t>Modelowanie wymagań - dane</t>
  </si>
  <si>
    <t>Modelowanie wymagań - system</t>
  </si>
  <si>
    <t>Modelowanie wymagań - ludzie</t>
  </si>
  <si>
    <t>Opowieści użytkowników</t>
  </si>
  <si>
    <t>Drzewa decyzyjne</t>
  </si>
  <si>
    <t>Modele interfejsów systemu - małe systemy</t>
  </si>
  <si>
    <t>Modele interfejsów systemu - średnie systemy</t>
  </si>
  <si>
    <t>Modele interfejsów systemu - duże systemy</t>
  </si>
  <si>
    <t>Diagramy kontekstowe systemu albo mapy ekosystemu</t>
  </si>
  <si>
    <t>Rezerwa na rzecz odległego zespołu</t>
  </si>
  <si>
    <t>Godziny pracy łącznie z rezerwą</t>
  </si>
  <si>
    <t>15% to przyjęty standard w branży</t>
  </si>
  <si>
    <t>Łączny budżet</t>
  </si>
  <si>
    <t>Liczba</t>
  </si>
  <si>
    <t>Koszty analityka bazujące na aktywnościach</t>
  </si>
  <si>
    <t>Liczba analityków pracujących nad wymaganiami</t>
  </si>
  <si>
    <t>Uwzględniono czas pozyskiwania wymagań z pominięciem dni wolnych od pracy</t>
  </si>
  <si>
    <t>Liczba analityków w całym projekcie</t>
  </si>
  <si>
    <t>Oszacowania dot. analityków jako stosunek liczby programistów do liczby analityków</t>
  </si>
  <si>
    <t>Oszacowania dot. analityków jako % ogólnego budżetu</t>
  </si>
  <si>
    <t>Programiści do analityków - standard</t>
  </si>
  <si>
    <t>Programiści do analityków - produkt gotowy z półki</t>
  </si>
  <si>
    <t>Koszt analityków w pracach nad wymaganiami</t>
  </si>
  <si>
    <t>Koszt analityków w pracy nad wymaganiami</t>
  </si>
  <si>
    <t>Koszt pracy analityków w całym projekcie</t>
  </si>
  <si>
    <t>Uwzględniono czas i koszty pozyskiwania wymagań</t>
  </si>
  <si>
    <t>Uwzględniono czas i koszty pozyskiwania informacji w projekcie</t>
  </si>
  <si>
    <t>Procent budżetu przeznaczony na wymagania</t>
  </si>
  <si>
    <t>Budżet analityka na pracę z wymaganiami</t>
  </si>
  <si>
    <t>Liczba analityków do pracy nad wymaganiami</t>
  </si>
  <si>
    <t>Wymagania</t>
  </si>
  <si>
    <t>Reguły biznesowe</t>
  </si>
  <si>
    <t>Liczba łączy śledzenia</t>
  </si>
  <si>
    <t>Przepływy procesów</t>
  </si>
  <si>
    <t>Obiekty danych w diagramie danych biznesowych</t>
  </si>
  <si>
    <t>Liczby i założenia dotyczące szacowanego modelu</t>
  </si>
  <si>
    <t>Kroki w przepływie procesu lub przypadku użycia</t>
  </si>
  <si>
    <t>Opowieści użytkowników/przepływ procesu</t>
  </si>
  <si>
    <t>Przepływy procesów/przypadki użycia</t>
  </si>
  <si>
    <t>Punkty decyzyjne w drzewie decyzyjnym</t>
  </si>
  <si>
    <t>Drzewa decyzyjne/przepływ procesu lub przypadek użycia</t>
  </si>
  <si>
    <t>Liczba obiektów w diagramie przepływu danych</t>
  </si>
  <si>
    <t>Stany w modelu stanów</t>
  </si>
  <si>
    <t>Obiekty stanu do zdefiniowania przypadające na diagramy danych biznesowych</t>
  </si>
  <si>
    <t>Diagramy przepływu danych przypadające na diagramy danych biznesowych</t>
  </si>
  <si>
    <t>Osoby w schemacie organizacyjnym (M:10; S:30; D:50)*</t>
  </si>
  <si>
    <t>Systemy w diagramie kontekstowym systemu (M:10; S:30; D:50)*</t>
  </si>
  <si>
    <t>Elementy ekranów</t>
  </si>
  <si>
    <t>Elementy raportów</t>
  </si>
  <si>
    <t>Wymagania/przepływ procesu lub przypadek użycia</t>
  </si>
  <si>
    <t>Reguły biznesowe/przepływ procesu lub przypadek użycia</t>
  </si>
  <si>
    <t>Łącza śledzenia/wymagania (do przepływu procesu, ekranu albo opowieści użytkownika)</t>
  </si>
  <si>
    <t>Oszacowanie bazuje na</t>
  </si>
  <si>
    <t>Założenia (* oznacza, że założenie różni się w zależności od wielkości projektu; M - mały, S - średni lub D - duży)</t>
  </si>
  <si>
    <t>Szczegółowe obliczenia dla każdej czynności</t>
  </si>
  <si>
    <t>Minuty razem</t>
  </si>
  <si>
    <t>Liczba elementów</t>
  </si>
  <si>
    <t>Macierz śledzenia</t>
  </si>
  <si>
    <t>Istniejące systemy</t>
  </si>
  <si>
    <t>Istniejąca dokumentacja</t>
  </si>
  <si>
    <t>Elementy w raporcie</t>
  </si>
  <si>
    <t>Stany w diagramie stanów</t>
  </si>
  <si>
    <t>Aktorzy/interesariusz</t>
  </si>
  <si>
    <t>Wymagania/krok w przepływie procesu lub przypadek użycia</t>
  </si>
  <si>
    <t>Niepowtarzalne wymagania/opowieść użytkownika</t>
  </si>
  <si>
    <t>Oszacowanie elementu (minuty)</t>
  </si>
  <si>
    <t>Sugerowany czas - minimum (minuty)</t>
  </si>
  <si>
    <t>Sugerowany czas - maksimum (minuty)</t>
  </si>
  <si>
    <t>W celu utworzenia planu skorzystać z listy kontrolnej</t>
  </si>
  <si>
    <t>Sumy częściowe sekcji (minuty)</t>
  </si>
  <si>
    <t>Raportowanie statusów</t>
  </si>
  <si>
    <t>Planowanie wymagań</t>
  </si>
  <si>
    <t>Wygaszanie budżetu i czynności</t>
  </si>
  <si>
    <t>Tworzenie struktury podziału pracy</t>
  </si>
  <si>
    <t>Tworzenie macierzy śledzenia</t>
  </si>
  <si>
    <t>Analiza macierzy śledzenia</t>
  </si>
  <si>
    <t>Cotygodniowe spotkania dot. statusu</t>
  </si>
  <si>
    <t>Tworzenie tygodniowych raportów dot. statusu</t>
  </si>
  <si>
    <t>Spotkania dot. defektów</t>
  </si>
  <si>
    <t>Główne spotkania zespołu</t>
  </si>
  <si>
    <t>Definiowanie architektury wymagań</t>
  </si>
  <si>
    <t>Zapoznanie się z projektem</t>
  </si>
  <si>
    <t>Spotkania związane z rozpoczęciem projektu</t>
  </si>
  <si>
    <t>Architektura i repozytorium wymagań</t>
  </si>
  <si>
    <t>Kompletowanie problemów i celów biznesowych</t>
  </si>
  <si>
    <t>Organizowanie funkcji i funkcjonalności</t>
  </si>
  <si>
    <t>Identyfikowanie głównych zestawów funkcji</t>
  </si>
  <si>
    <t>Określenie, jak organizować pracę</t>
  </si>
  <si>
    <t>Przeszkolenie się w istniejących lub nowych systemach</t>
  </si>
  <si>
    <t>Przygotowanie i odbycie spotkania</t>
  </si>
  <si>
    <t>Wprowadzenie do podstaw projektu</t>
  </si>
  <si>
    <t>Pozyskanie i udokumentowanie celów biznesowych</t>
  </si>
  <si>
    <t>Szybki start</t>
  </si>
  <si>
    <t>Informacje szczegółowe</t>
  </si>
  <si>
    <t>Sekcja oszacowań</t>
  </si>
  <si>
    <t>Sekcja łącznych nakładów</t>
  </si>
  <si>
    <t>Arkusz "Założenia"</t>
  </si>
  <si>
    <t>Klucz do kolorów</t>
  </si>
  <si>
    <t>Czas w tygodniu na raportowanie statusu</t>
  </si>
  <si>
    <t>Czas w tygodniu na spotkania dot. statusu</t>
  </si>
  <si>
    <t>Czas w tygodniu na główne spotkania zespołu</t>
  </si>
  <si>
    <t>Czas w tygodniu na spotkania dot. defektów</t>
  </si>
  <si>
    <t>Konfiguracja obiektów architektury oraz ich umiejscowienia</t>
  </si>
  <si>
    <t>Konfiguracja repozytorium dokumentów, narzędzi do pracy z wymaganiami oraz ich struktury</t>
  </si>
  <si>
    <t>Podejmowanie decyzji dot. sposobu organizacji pracy</t>
  </si>
  <si>
    <t>Ocena jednej strony dokumentacji</t>
  </si>
  <si>
    <t>Czas poświęcony na jedno łącze</t>
  </si>
  <si>
    <t>Przegląd istniejącego systemu</t>
  </si>
  <si>
    <t>Schematy organizacyjne</t>
  </si>
  <si>
    <t>Diagram kontekstowy systemu albo mapa ekosystemu</t>
  </si>
  <si>
    <t>Osoby na schemacie organizacyjnym</t>
  </si>
  <si>
    <t>Modele interfejsu małego systemu</t>
  </si>
  <si>
    <t>Modele interfejsu średniego systemu</t>
  </si>
  <si>
    <t>Modele interfejsu dużego systemu</t>
  </si>
  <si>
    <t>Modele ekran-działanie-reakcja</t>
  </si>
  <si>
    <t>Tworzenie szkieletów</t>
  </si>
  <si>
    <t>Kroki w ramach przepływu procesu/przypadku użycia</t>
  </si>
  <si>
    <t>Podział sesji (30 przygotowanie, 60 spotkanie, 30 podsumowanie)</t>
  </si>
  <si>
    <t>Pozyskiwanie schematów organizacyjnych</t>
  </si>
  <si>
    <t>Tworzenie schematów organizacyjnych</t>
  </si>
  <si>
    <t>Wewnętrzna ocena schematów organizacyjnych</t>
  </si>
  <si>
    <t>Ocena schematów organizacyjnych przez klientów</t>
  </si>
  <si>
    <t>Tworzenie profili aktorów</t>
  </si>
  <si>
    <t>Wewnętrzna ocena profili aktorów</t>
  </si>
  <si>
    <t>Ocena profili aktorów przez klientów</t>
  </si>
  <si>
    <t>Podział sesji (20 przygotowanie, 30 spotkanie, 10 podsumowanie)</t>
  </si>
  <si>
    <t>Wymagania i reguły biznesowe przypadające na opowieść użytkownika</t>
  </si>
  <si>
    <t>Reguły biznesowe przypadające na drzewo decyzyjne</t>
  </si>
  <si>
    <t>Systemy w obrębie diagramu kontekstowego</t>
  </si>
  <si>
    <t>Przygotowanie do pozyskiwania, spotkanie i podsumowanie</t>
  </si>
  <si>
    <t>Tworzenie przepływów procesów lub przypadków użycia</t>
  </si>
  <si>
    <t>Wewnętrzna ocena przepływów procesów lub przypadków użycia</t>
  </si>
  <si>
    <t>Ocena przepływów procesów lub przypadków użycia przez klienta</t>
  </si>
  <si>
    <t>Pozyskiwanie opowieści użytkowników</t>
  </si>
  <si>
    <t>Tworzenie opowieści użytkowników</t>
  </si>
  <si>
    <t>Wewnętrzna ocena opowieści użytkowników</t>
  </si>
  <si>
    <t>Ocena opowieści użytkowników przez klientów</t>
  </si>
  <si>
    <t>Tworzenie drzew decyzyjnych</t>
  </si>
  <si>
    <t>Wewnętrzna ocena drzew decyzyjnych</t>
  </si>
  <si>
    <t>Ocena drzew decyzyjnych przez klientów</t>
  </si>
  <si>
    <t>Mały niestandardowy system, niewiele danych</t>
  </si>
  <si>
    <t>Elementy w obrębie ekranu</t>
  </si>
  <si>
    <t>Przekazywanych jest wiele danych, wiele punktów interfejsu</t>
  </si>
  <si>
    <t>Pozyskiwanie diagramu kontekstowego systemu</t>
  </si>
  <si>
    <t>Tworzenie diagramu kontekstowego systemu</t>
  </si>
  <si>
    <t>Wewnętrzna ocena diagramu kontekstowego systemu</t>
  </si>
  <si>
    <t>Reguły biznesowe przypadające na diagram przepływu danych</t>
  </si>
  <si>
    <t>Elementy w słowniku danych</t>
  </si>
  <si>
    <t>Pozyskiwanie diagramów danych biznesowych</t>
  </si>
  <si>
    <t>Tworzenie diagramów danych biznesowych</t>
  </si>
  <si>
    <t>Wewnętrzna ocena diagramów danych biznesowych</t>
  </si>
  <si>
    <t>Ocena diagramu kontekstowego systemu przez klienta</t>
  </si>
  <si>
    <t>Ocena diagramów danych biznesowych przez klienta</t>
  </si>
  <si>
    <t>Wewnętrzna ocena szkieletów</t>
  </si>
  <si>
    <t>Ocena szkieletów przez klienta</t>
  </si>
  <si>
    <t>Obiekty w diagramie przepływu danych</t>
  </si>
  <si>
    <t>Obiekty w diagramie danych biznesowych</t>
  </si>
  <si>
    <t>Stany w tabeli stanów</t>
  </si>
  <si>
    <t>Tworzenie modeli ekran-działanie-reakcja</t>
  </si>
  <si>
    <t>Wewnętrzna ocena modeli ekran-działanie-reakcja</t>
  </si>
  <si>
    <t>Ocena modeli ekran-działanie-reakcja przez klienta</t>
  </si>
  <si>
    <t>Tworzenie diagramów przepływu danych</t>
  </si>
  <si>
    <t>Wewnętrzna ocena diagramów przepływu danych</t>
  </si>
  <si>
    <t>Ocena diagramów przepływu danych przez klienta</t>
  </si>
  <si>
    <t>Tworzenie słowników danych</t>
  </si>
  <si>
    <t>Wewnętrzna ocena słowników danych</t>
  </si>
  <si>
    <t>Ocena słowników danych przez klienta</t>
  </si>
  <si>
    <t>Tworzenie tabel stanów</t>
  </si>
  <si>
    <t>Tworzenie pochodnych wymagań i reguł biznesowych</t>
  </si>
  <si>
    <t>Ocena i aktualizacja pochodnych wymagań</t>
  </si>
  <si>
    <t>Wewnętrzna ocena tabel stanów</t>
  </si>
  <si>
    <t>Ocena tabel stanów przez klienta</t>
  </si>
  <si>
    <t>Tworzenie diagramów stanów</t>
  </si>
  <si>
    <t>Wewnętrzna ocena diagramów stanów</t>
  </si>
  <si>
    <t>Ocena diagramów stanów przez klienta</t>
  </si>
  <si>
    <t>Tworzenie tabel z raportami</t>
  </si>
  <si>
    <t>Wewnętrzna ocena tabel z raportami</t>
  </si>
  <si>
    <t>Ocena tabel z raportami przez klienta</t>
  </si>
  <si>
    <t>Zdobycie doświadczenia w nowym systemie</t>
  </si>
  <si>
    <t>Reguły biznesowe przypadające na tabelę stanów</t>
  </si>
  <si>
    <t>Reguły biznesowe przypadające na diagram stanów</t>
  </si>
  <si>
    <t>Zezwala się na używanie, modyfikowanie oraz dystrybuowanie niniejszego arkusza.</t>
  </si>
  <si>
    <t>Copyright © 2013 by Karl Wiegers and Seilevel.</t>
  </si>
  <si>
    <t>Sekcja "Liczby i założenia dotyczące szacowanego modelu"</t>
  </si>
  <si>
    <t>Liczba tworzonych modeli jest liczona u góry po lewej stronie</t>
  </si>
  <si>
    <t>Przejdź do arkusza "Podsumowanie". Wypełnij żółte komórki odpowiednimi liczbami.</t>
  </si>
  <si>
    <t>Przejdź do arkusza "Założenia". Sprawdź standardowe liczby w żółtych komórkach. Zmień je, jeśli zajdzie taka potrzeba.</t>
  </si>
  <si>
    <t>Powróć do arkusza z podsumowaniem i sprawdź wartości sumaryczne.</t>
  </si>
  <si>
    <t>Arkusz z podsumowaniem</t>
  </si>
  <si>
    <t>Arkusz "Podsumowanie" zawiera założenia dotyczące projektu, nakłady przypadające na modele oraz nakłady łączne.</t>
  </si>
  <si>
    <t>Należy wypełnić lewą kolumnę żółtych komórek. Wypełnianie kolumny żółtych komórek z prawej strony nie jest wymagane</t>
  </si>
  <si>
    <t>Łączny budżet projektu jest jedynie kolejnym sposobem na oszacowanie nakładów przeznaczonych na pracę nad wymaganiami.</t>
  </si>
  <si>
    <t>Liczba programistów i typ projektu są wykorzystywane w celu oszacowania liczby programistów potrzebnej w projekcie jako takim.</t>
  </si>
  <si>
    <t>Sekcja ta zawiera oszacowania dotyczące modeli, bazujące na sekcjach "Dane wejściowe" i "Założenia".</t>
  </si>
  <si>
    <t>Obliczenia w tej sekcji bazują na wstępnie skonfigurowanych formułach i podają nakłady łączne.</t>
  </si>
  <si>
    <t>Łączna liczba analityków jest obliczana w oparciu o wprowadzony u góry czas trwania pracy nad wymaganiami.</t>
  </si>
  <si>
    <t>Komórki żółte zawierają wartości standardowe, ale możne je zmienić.</t>
  </si>
  <si>
    <t>Nie ma potrzeby zmieniania założeń, chociaż można to zrobić.</t>
  </si>
  <si>
    <t>Budżet analityków biznesowych można obliczyć jako odsetek budżetu całego projektu.</t>
  </si>
  <si>
    <t>Koszt pracy analityków w całym projekcie jest obliczany w oparciu o liczbę potrzebnych analityków biznesowych w stosunku do liczby programistów.</t>
  </si>
  <si>
    <t>Sekcja "Szczegółowe obliczenia dla każdej czynności"</t>
  </si>
  <si>
    <t>Podane tu szacunki dotyczą tworzenia każdego z poszczególnych modeli albo elementów.</t>
  </si>
  <si>
    <t>Arkusz "Założenia" zawiera przyjęte wartości, które są wykorzystywane w celu określenia średnich nakładów potrzebnych do realizacji każdego modelu albo elementu wymagań.</t>
  </si>
  <si>
    <t>Sugerowane czasy, minimalne i maksymalne, pomagają podjąć decyzję, jakie wartości wprowadzić w kolumnie E.</t>
  </si>
  <si>
    <t>Elementem jest dowolny obiekt lub fragment obiektu użyty w oszacowaniu. Elementem może być przypadek użycia, krok w przypadku użycia, przepływ procesu albo przycisk lub łącze na ekranie.</t>
  </si>
  <si>
    <t>Czas trwania projektu to oczekiwany łączny czas prowadzenia prac nad projektem. Jest on wykorzystywany w celu oszacowania potrzebnej liczby tygodni (oprócz czasu poświęconego na wymagania) oraz wymaganego wsparcia analityka biznesowego w tym okresie. Wprowadzenie tej informacji nie jest konieczne.</t>
  </si>
  <si>
    <t>Czas pracy nad wymaganiami to łączny oczekiwany czas poświęcony w projekcie na opracowywanie wymagań. Jest on wykorzystywany w celu oszacowania czasu potrzebnego na raportowanie statusów (ponieważ raportowanie ma miejsce w tym okresie). Wartość ta jest także stosowana w celu oszacowania liczby analityków w oparciu o łączne nakłady pracy i czas trwania projektu.</t>
  </si>
  <si>
    <t>Jeśli określono, że zespół pracuje zdalnie, do liczby godzin nieefektywnego wykorzystania czasu pracy dodawany jest margines 10%.</t>
  </si>
  <si>
    <t>W oparciu o łączne nakłady pracy na wymagania obliczany jest również szacunkowy koszt analityków biznesowych.</t>
  </si>
  <si>
    <t>"Specyfikacja oprogramowania. Inżynieria wymagań. Wydanie III", Helion 2014.</t>
  </si>
  <si>
    <t>Reguły biznesowe/wymaganie</t>
  </si>
  <si>
    <t>Kompletowanie listy kontrolnej metodologii</t>
  </si>
  <si>
    <t>Konfiguracja narzędzi do pracy z repozytorium</t>
  </si>
  <si>
    <t>Weryfikacja schematów organizacyjnych względem list interesariuszy</t>
  </si>
  <si>
    <t>Ocena i aktualizacja wymagań pochodnych</t>
  </si>
  <si>
    <t>Pozyskiwanie tabel z raportami</t>
  </si>
  <si>
    <t>Identyfikowanie funkcjonalności, funkcji, modułów itd.</t>
  </si>
  <si>
    <t>Czas przypadający na łącze w celu odszukania problemów albo luk</t>
  </si>
  <si>
    <t>Wymagania i reguły biznesowe przypadające na przepływ procesu/przypadek użycia</t>
  </si>
  <si>
    <t>Tabele ekran-działanie-reakcja</t>
  </si>
  <si>
    <t>Więcej informacji na temat przedstawionego modelu znajduje się w książce Karla Wiegersa i Joy Beatty</t>
  </si>
</sst>
</file>

<file path=xl/styles.xml><?xml version="1.0" encoding="utf-8"?>
<styleSheet xmlns="http://schemas.openxmlformats.org/spreadsheetml/2006/main">
  <numFmts count="5">
    <numFmt numFmtId="164" formatCode="&quot;$&quot;#,##0.00_);\(&quot;$&quot;#,##0.00\)"/>
    <numFmt numFmtId="165" formatCode="_(&quot;$&quot;* #,##0.00_);_(&quot;$&quot;* \(#,##0.00\);_(&quot;$&quot;* &quot;-&quot;??_);_(@_)"/>
    <numFmt numFmtId="166" formatCode="0.0"/>
    <numFmt numFmtId="167" formatCode="_(&quot;$&quot;* #,##0_);_(&quot;$&quot;* \(#,##0\);_(&quot;$&quot;* &quot;-&quot;??_);_(@_)"/>
    <numFmt numFmtId="168" formatCode="#,##0\ &quot;zł&quot;"/>
  </numFmts>
  <fonts count="1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name val="Calibri"/>
      <family val="2"/>
    </font>
    <font>
      <b/>
      <sz val="16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sz val="10"/>
      <color indexed="23"/>
      <name val="Arial"/>
      <family val="2"/>
    </font>
    <font>
      <sz val="8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2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131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0" fontId="0" fillId="0" borderId="0" xfId="0" applyFont="1" applyBorder="1" applyAlignment="1">
      <alignment vertical="top"/>
    </xf>
    <xf numFmtId="0" fontId="2" fillId="2" borderId="0" xfId="0" applyFont="1" applyFill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0" fillId="3" borderId="0" xfId="0" applyFont="1" applyFill="1" applyBorder="1" applyAlignment="1" applyProtection="1">
      <alignment horizontal="center" vertical="top" wrapText="1"/>
      <protection locked="0"/>
    </xf>
    <xf numFmtId="0" fontId="0" fillId="0" borderId="0" xfId="0" applyFont="1" applyFill="1" applyBorder="1" applyAlignment="1">
      <alignment vertical="top" wrapText="1"/>
    </xf>
    <xf numFmtId="0" fontId="0" fillId="0" borderId="0" xfId="0" applyFont="1" applyFill="1" applyBorder="1" applyAlignment="1">
      <alignment horizontal="center" vertical="top"/>
    </xf>
    <xf numFmtId="1" fontId="1" fillId="0" borderId="0" xfId="0" applyNumberFormat="1" applyFont="1" applyFill="1" applyBorder="1" applyAlignment="1">
      <alignment horizontal="center" vertical="top"/>
    </xf>
    <xf numFmtId="0" fontId="0" fillId="0" borderId="0" xfId="0" applyFont="1" applyBorder="1" applyAlignment="1">
      <alignment horizontal="center" vertical="top"/>
    </xf>
    <xf numFmtId="0" fontId="0" fillId="0" borderId="0" xfId="0" applyFont="1" applyFill="1" applyBorder="1" applyAlignment="1">
      <alignment vertical="top"/>
    </xf>
    <xf numFmtId="166" fontId="1" fillId="0" borderId="0" xfId="0" applyNumberFormat="1" applyFont="1" applyFill="1" applyBorder="1" applyAlignment="1">
      <alignment horizontal="center" vertical="top"/>
    </xf>
    <xf numFmtId="0" fontId="0" fillId="3" borderId="0" xfId="0" applyFont="1" applyFill="1" applyBorder="1" applyAlignment="1" applyProtection="1">
      <alignment horizontal="center" vertical="top"/>
      <protection locked="0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top"/>
    </xf>
    <xf numFmtId="0" fontId="0" fillId="0" borderId="0" xfId="0" applyFill="1" applyBorder="1" applyAlignment="1">
      <alignment vertical="top"/>
    </xf>
    <xf numFmtId="1" fontId="1" fillId="0" borderId="0" xfId="0" applyNumberFormat="1" applyFont="1" applyBorder="1" applyAlignment="1">
      <alignment horizontal="center" vertical="top"/>
    </xf>
    <xf numFmtId="0" fontId="0" fillId="0" borderId="0" xfId="0" applyBorder="1" applyAlignment="1">
      <alignment horizontal="left" vertical="top" indent="1"/>
    </xf>
    <xf numFmtId="1" fontId="1" fillId="0" borderId="0" xfId="0" applyNumberFormat="1" applyFont="1" applyFill="1" applyBorder="1" applyAlignment="1">
      <alignment vertical="top"/>
    </xf>
    <xf numFmtId="1" fontId="1" fillId="0" borderId="0" xfId="0" applyNumberFormat="1" applyFont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 applyProtection="1">
      <alignment horizontal="center" vertical="top"/>
      <protection locked="0"/>
    </xf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 indent="1"/>
    </xf>
    <xf numFmtId="0" fontId="1" fillId="0" borderId="0" xfId="0" applyFont="1" applyFill="1" applyBorder="1" applyAlignment="1">
      <alignment horizontal="left" vertical="center"/>
    </xf>
    <xf numFmtId="1" fontId="0" fillId="0" borderId="0" xfId="0" applyNumberFormat="1" applyFont="1" applyFill="1" applyBorder="1" applyAlignment="1">
      <alignment horizontal="center" vertical="top"/>
    </xf>
    <xf numFmtId="0" fontId="0" fillId="0" borderId="0" xfId="0" applyFill="1" applyAlignment="1">
      <alignment horizontal="left" vertical="top"/>
    </xf>
    <xf numFmtId="0" fontId="0" fillId="0" borderId="0" xfId="0" applyFill="1" applyBorder="1" applyAlignment="1" applyProtection="1">
      <alignment horizontal="left" vertical="top"/>
      <protection locked="0"/>
    </xf>
    <xf numFmtId="0" fontId="0" fillId="0" borderId="0" xfId="0" applyFont="1" applyFill="1" applyBorder="1" applyAlignment="1">
      <alignment horizontal="left" vertical="top" wrapText="1"/>
    </xf>
    <xf numFmtId="0" fontId="0" fillId="0" borderId="0" xfId="0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0" fillId="0" borderId="0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top"/>
    </xf>
    <xf numFmtId="0" fontId="0" fillId="0" borderId="0" xfId="0" applyBorder="1" applyAlignment="1">
      <alignment horizontal="left" vertical="top" wrapText="1" indent="1"/>
    </xf>
    <xf numFmtId="0" fontId="3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2" fillId="2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top" wrapText="1"/>
    </xf>
    <xf numFmtId="0" fontId="0" fillId="3" borderId="0" xfId="0" applyFont="1" applyFill="1" applyBorder="1" applyAlignment="1">
      <alignment vertical="top" wrapText="1"/>
    </xf>
    <xf numFmtId="0" fontId="0" fillId="3" borderId="0" xfId="0" applyFont="1" applyFill="1" applyBorder="1" applyAlignment="1">
      <alignment horizontal="center" vertical="top"/>
    </xf>
    <xf numFmtId="0" fontId="2" fillId="4" borderId="0" xfId="0" applyFont="1" applyFill="1" applyBorder="1" applyAlignment="1">
      <alignment vertical="top" wrapText="1"/>
    </xf>
    <xf numFmtId="2" fontId="0" fillId="3" borderId="0" xfId="0" applyNumberFormat="1" applyFont="1" applyFill="1" applyBorder="1" applyAlignment="1" applyProtection="1">
      <alignment horizontal="center" vertical="top"/>
      <protection locked="0"/>
    </xf>
    <xf numFmtId="1" fontId="1" fillId="0" borderId="0" xfId="0" applyNumberFormat="1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0" fontId="0" fillId="3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 wrapText="1"/>
    </xf>
    <xf numFmtId="0" fontId="0" fillId="5" borderId="0" xfId="0" applyFont="1" applyFill="1" applyBorder="1" applyAlignment="1">
      <alignment horizontal="center" vertical="top"/>
    </xf>
    <xf numFmtId="0" fontId="0" fillId="0" borderId="0" xfId="0" applyFont="1" applyFill="1" applyBorder="1" applyAlignment="1">
      <alignment horizontal="center" vertical="center"/>
    </xf>
    <xf numFmtId="1" fontId="0" fillId="0" borderId="0" xfId="0" applyNumberFormat="1" applyFont="1" applyFill="1" applyBorder="1" applyAlignment="1">
      <alignment horizontal="center" vertical="center"/>
    </xf>
    <xf numFmtId="167" fontId="0" fillId="3" borderId="0" xfId="2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0" fontId="0" fillId="6" borderId="0" xfId="0" applyFont="1" applyFill="1" applyBorder="1" applyAlignment="1">
      <alignment vertical="top" wrapText="1"/>
    </xf>
    <xf numFmtId="0" fontId="0" fillId="5" borderId="0" xfId="0" applyFont="1" applyFill="1" applyBorder="1" applyAlignment="1" applyProtection="1">
      <alignment horizontal="center" vertical="top"/>
      <protection locked="0"/>
    </xf>
    <xf numFmtId="2" fontId="0" fillId="0" borderId="0" xfId="0" applyNumberFormat="1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center" vertical="top" wrapText="1"/>
    </xf>
    <xf numFmtId="0" fontId="0" fillId="0" borderId="0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/>
    </xf>
    <xf numFmtId="0" fontId="0" fillId="0" borderId="0" xfId="0" applyFill="1" applyAlignment="1">
      <alignment horizontal="center" vertical="top"/>
    </xf>
    <xf numFmtId="1" fontId="0" fillId="0" borderId="0" xfId="0" applyNumberFormat="1" applyFont="1" applyFill="1" applyBorder="1" applyAlignment="1">
      <alignment horizontal="center" vertical="top" wrapText="1"/>
    </xf>
    <xf numFmtId="0" fontId="0" fillId="0" borderId="0" xfId="0" applyFont="1" applyFill="1" applyBorder="1" applyAlignment="1">
      <alignment horizontal="center" vertical="top" wrapText="1"/>
    </xf>
    <xf numFmtId="167" fontId="0" fillId="6" borderId="0" xfId="2" applyNumberFormat="1" applyFont="1" applyFill="1" applyBorder="1" applyAlignment="1">
      <alignment horizontal="center" vertical="top" wrapText="1"/>
    </xf>
    <xf numFmtId="1" fontId="1" fillId="6" borderId="0" xfId="0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vertical="top"/>
    </xf>
    <xf numFmtId="0" fontId="3" fillId="4" borderId="0" xfId="0" applyFont="1" applyFill="1" applyBorder="1" applyAlignment="1">
      <alignment vertical="top" wrapText="1"/>
    </xf>
    <xf numFmtId="0" fontId="3" fillId="4" borderId="0" xfId="0" applyFont="1" applyFill="1" applyBorder="1" applyAlignment="1">
      <alignment horizontal="center" vertical="top" wrapText="1"/>
    </xf>
    <xf numFmtId="0" fontId="5" fillId="4" borderId="0" xfId="0" applyFont="1" applyFill="1" applyBorder="1" applyAlignment="1">
      <alignment vertical="top" wrapText="1"/>
    </xf>
    <xf numFmtId="0" fontId="0" fillId="4" borderId="0" xfId="0" applyFont="1" applyFill="1" applyBorder="1" applyAlignment="1">
      <alignment vertical="top"/>
    </xf>
    <xf numFmtId="0" fontId="0" fillId="4" borderId="0" xfId="0" applyFill="1" applyBorder="1" applyAlignment="1" applyProtection="1">
      <alignment horizontal="left" vertical="top"/>
      <protection locked="0"/>
    </xf>
    <xf numFmtId="0" fontId="3" fillId="4" borderId="0" xfId="0" applyFont="1" applyFill="1" applyBorder="1" applyAlignment="1">
      <alignment horizontal="center" vertical="top"/>
    </xf>
    <xf numFmtId="0" fontId="2" fillId="4" borderId="0" xfId="0" applyFont="1" applyFill="1" applyBorder="1" applyAlignment="1">
      <alignment horizontal="left" vertical="top"/>
    </xf>
    <xf numFmtId="0" fontId="2" fillId="4" borderId="0" xfId="0" applyFont="1" applyFill="1" applyBorder="1" applyAlignment="1">
      <alignment vertical="top"/>
    </xf>
    <xf numFmtId="0" fontId="3" fillId="4" borderId="0" xfId="0" applyFont="1" applyFill="1" applyBorder="1" applyAlignment="1">
      <alignment vertical="top"/>
    </xf>
    <xf numFmtId="0" fontId="3" fillId="4" borderId="0" xfId="0" applyFont="1" applyFill="1" applyBorder="1" applyAlignment="1">
      <alignment horizontal="left" vertical="top"/>
    </xf>
    <xf numFmtId="0" fontId="1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horizontal="left" vertical="center" wrapText="1"/>
    </xf>
    <xf numFmtId="0" fontId="0" fillId="5" borderId="0" xfId="0" applyFont="1" applyFill="1" applyBorder="1" applyAlignment="1">
      <alignment vertical="top" wrapText="1"/>
    </xf>
    <xf numFmtId="0" fontId="0" fillId="5" borderId="0" xfId="0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top"/>
    </xf>
    <xf numFmtId="0" fontId="3" fillId="2" borderId="0" xfId="0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vertical="top" wrapText="1"/>
    </xf>
    <xf numFmtId="0" fontId="1" fillId="0" borderId="0" xfId="0" applyFont="1"/>
    <xf numFmtId="0" fontId="0" fillId="3" borderId="0" xfId="0" applyFont="1" applyFill="1" applyBorder="1" applyAlignment="1">
      <alignment vertical="top"/>
    </xf>
    <xf numFmtId="0" fontId="0" fillId="6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top" wrapText="1"/>
    </xf>
    <xf numFmtId="0" fontId="6" fillId="0" borderId="0" xfId="0" applyFont="1"/>
    <xf numFmtId="0" fontId="0" fillId="0" borderId="0" xfId="0" applyAlignment="1">
      <alignment wrapText="1"/>
    </xf>
    <xf numFmtId="0" fontId="7" fillId="0" borderId="0" xfId="0" applyFont="1"/>
    <xf numFmtId="0" fontId="7" fillId="0" borderId="0" xfId="0" applyFont="1" applyFill="1" applyBorder="1" applyAlignment="1">
      <alignment vertical="top"/>
    </xf>
    <xf numFmtId="0" fontId="2" fillId="7" borderId="0" xfId="0" applyFont="1" applyFill="1" applyBorder="1" applyAlignment="1">
      <alignment vertical="top" wrapText="1"/>
    </xf>
    <xf numFmtId="0" fontId="2" fillId="7" borderId="0" xfId="0" applyFont="1" applyFill="1" applyAlignment="1">
      <alignment wrapText="1"/>
    </xf>
    <xf numFmtId="0" fontId="8" fillId="0" borderId="0" xfId="0" applyFont="1" applyAlignment="1">
      <alignment wrapText="1"/>
    </xf>
    <xf numFmtId="0" fontId="0" fillId="8" borderId="0" xfId="0" applyFont="1" applyFill="1" applyBorder="1" applyAlignment="1">
      <alignment vertical="top" wrapText="1"/>
    </xf>
    <xf numFmtId="0" fontId="0" fillId="8" borderId="0" xfId="0" applyFont="1" applyFill="1" applyBorder="1" applyAlignment="1">
      <alignment horizontal="center" vertical="top"/>
    </xf>
    <xf numFmtId="1" fontId="0" fillId="8" borderId="0" xfId="0" applyNumberFormat="1" applyFont="1" applyFill="1" applyBorder="1" applyAlignment="1">
      <alignment horizontal="center" vertical="top"/>
    </xf>
    <xf numFmtId="0" fontId="0" fillId="8" borderId="0" xfId="0" applyFont="1" applyFill="1" applyBorder="1" applyAlignment="1">
      <alignment horizontal="center" vertical="top" wrapText="1"/>
    </xf>
    <xf numFmtId="1" fontId="0" fillId="8" borderId="0" xfId="0" applyNumberFormat="1" applyFont="1" applyFill="1" applyBorder="1" applyAlignment="1">
      <alignment horizontal="center" vertical="top" wrapText="1"/>
    </xf>
    <xf numFmtId="0" fontId="0" fillId="8" borderId="0" xfId="0" applyFont="1" applyFill="1" applyBorder="1" applyAlignment="1" applyProtection="1">
      <alignment horizontal="center" vertical="top"/>
      <protection locked="0"/>
    </xf>
    <xf numFmtId="0" fontId="0" fillId="8" borderId="0" xfId="0" applyFont="1" applyFill="1" applyBorder="1" applyAlignment="1">
      <alignment vertical="top"/>
    </xf>
    <xf numFmtId="0" fontId="2" fillId="2" borderId="0" xfId="0" applyFont="1" applyFill="1" applyBorder="1" applyAlignment="1">
      <alignment vertical="top"/>
    </xf>
    <xf numFmtId="2" fontId="0" fillId="3" borderId="0" xfId="0" applyNumberFormat="1" applyFont="1" applyFill="1" applyBorder="1" applyAlignment="1">
      <alignment horizontal="center" vertical="top" wrapText="1"/>
    </xf>
    <xf numFmtId="1" fontId="0" fillId="8" borderId="0" xfId="0" applyNumberFormat="1" applyFont="1" applyFill="1" applyBorder="1" applyAlignment="1" applyProtection="1">
      <alignment horizontal="center" vertical="top"/>
      <protection locked="0"/>
    </xf>
    <xf numFmtId="0" fontId="5" fillId="0" borderId="0" xfId="0" applyFont="1" applyAlignment="1">
      <alignment wrapText="1"/>
    </xf>
    <xf numFmtId="0" fontId="0" fillId="0" borderId="0" xfId="0" applyAlignment="1">
      <alignment horizontal="center"/>
    </xf>
    <xf numFmtId="9" fontId="0" fillId="5" borderId="0" xfId="1" applyFont="1" applyFill="1" applyBorder="1" applyAlignment="1">
      <alignment horizontal="center" vertical="top" wrapText="1"/>
    </xf>
    <xf numFmtId="0" fontId="0" fillId="6" borderId="0" xfId="0" applyFill="1" applyBorder="1" applyAlignment="1">
      <alignment vertical="top" wrapText="1"/>
    </xf>
    <xf numFmtId="164" fontId="0" fillId="0" borderId="0" xfId="0" applyNumberFormat="1" applyFont="1" applyFill="1" applyBorder="1" applyAlignment="1">
      <alignment horizontal="center" vertical="top" wrapText="1"/>
    </xf>
    <xf numFmtId="37" fontId="0" fillId="6" borderId="0" xfId="0" applyNumberFormat="1" applyFont="1" applyFill="1" applyBorder="1" applyAlignment="1">
      <alignment horizontal="center" vertical="top" wrapText="1"/>
    </xf>
    <xf numFmtId="166" fontId="0" fillId="8" borderId="0" xfId="0" applyNumberFormat="1" applyFont="1" applyFill="1" applyBorder="1" applyAlignment="1">
      <alignment horizontal="center" vertical="top" wrapText="1"/>
    </xf>
    <xf numFmtId="0" fontId="0" fillId="5" borderId="0" xfId="0" applyFont="1" applyFill="1" applyBorder="1" applyAlignment="1">
      <alignment horizontal="center" vertical="top" wrapText="1"/>
    </xf>
    <xf numFmtId="166" fontId="0" fillId="6" borderId="0" xfId="0" applyNumberFormat="1" applyFont="1" applyFill="1" applyBorder="1" applyAlignment="1">
      <alignment horizontal="center" vertical="top" wrapText="1"/>
    </xf>
    <xf numFmtId="1" fontId="1" fillId="6" borderId="0" xfId="0" applyNumberFormat="1" applyFont="1" applyFill="1" applyBorder="1" applyAlignment="1">
      <alignment horizontal="center" vertical="center"/>
    </xf>
    <xf numFmtId="0" fontId="9" fillId="0" borderId="0" xfId="0" applyFont="1"/>
    <xf numFmtId="168" fontId="0" fillId="3" borderId="0" xfId="2" applyNumberFormat="1" applyFont="1" applyFill="1" applyBorder="1" applyAlignment="1">
      <alignment horizontal="center" vertical="top"/>
    </xf>
    <xf numFmtId="168" fontId="0" fillId="6" borderId="0" xfId="2" applyNumberFormat="1" applyFont="1" applyFill="1" applyBorder="1" applyAlignment="1">
      <alignment horizontal="center" vertical="top" wrapText="1"/>
    </xf>
    <xf numFmtId="168" fontId="0" fillId="6" borderId="0" xfId="2" applyNumberFormat="1" applyFont="1" applyFill="1" applyBorder="1" applyAlignment="1">
      <alignment vertical="top" wrapText="1"/>
    </xf>
    <xf numFmtId="0" fontId="2" fillId="2" borderId="0" xfId="0" quotePrefix="1" applyFont="1" applyFill="1" applyBorder="1" applyAlignment="1">
      <alignment vertical="top" wrapText="1"/>
    </xf>
    <xf numFmtId="0" fontId="0" fillId="0" borderId="0" xfId="0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0" borderId="0" xfId="0" applyFont="1" applyFill="1" applyBorder="1" applyAlignment="1" applyProtection="1">
      <alignment horizontal="left" vertical="top"/>
      <protection locked="0"/>
    </xf>
    <xf numFmtId="168" fontId="0" fillId="8" borderId="0" xfId="0" applyNumberFormat="1" applyFont="1" applyFill="1" applyBorder="1" applyAlignment="1">
      <alignment horizontal="center" vertical="top" wrapText="1"/>
    </xf>
    <xf numFmtId="168" fontId="0" fillId="5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/>
    </xf>
  </cellXfs>
  <cellStyles count="3">
    <cellStyle name="Normalny" xfId="0" builtinId="0"/>
    <cellStyle name="Procentowy" xfId="1" builtinId="5"/>
    <cellStyle name="Walutowy" xfId="2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</xdr:colOff>
      <xdr:row>17</xdr:row>
      <xdr:rowOff>57150</xdr:rowOff>
    </xdr:from>
    <xdr:to>
      <xdr:col>3</xdr:col>
      <xdr:colOff>180975</xdr:colOff>
      <xdr:row>26</xdr:row>
      <xdr:rowOff>152400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2925" y="3543300"/>
          <a:ext cx="6715125" cy="18097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40</xdr:row>
      <xdr:rowOff>9525</xdr:rowOff>
    </xdr:from>
    <xdr:to>
      <xdr:col>2</xdr:col>
      <xdr:colOff>4381500</xdr:colOff>
      <xdr:row>48</xdr:row>
      <xdr:rowOff>161925</xdr:rowOff>
    </xdr:to>
    <xdr:pic>
      <xdr:nvPicPr>
        <xdr:cNvPr id="2050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400" y="9591675"/>
          <a:ext cx="4381500" cy="1676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50</xdr:row>
      <xdr:rowOff>9525</xdr:rowOff>
    </xdr:from>
    <xdr:to>
      <xdr:col>2</xdr:col>
      <xdr:colOff>4543425</xdr:colOff>
      <xdr:row>54</xdr:row>
      <xdr:rowOff>19050</xdr:rowOff>
    </xdr:to>
    <xdr:pic>
      <xdr:nvPicPr>
        <xdr:cNvPr id="2051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42925" y="11496675"/>
          <a:ext cx="4533900" cy="7715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56</xdr:row>
      <xdr:rowOff>9525</xdr:rowOff>
    </xdr:from>
    <xdr:to>
      <xdr:col>2</xdr:col>
      <xdr:colOff>4543425</xdr:colOff>
      <xdr:row>61</xdr:row>
      <xdr:rowOff>19050</xdr:rowOff>
    </xdr:to>
    <xdr:pic>
      <xdr:nvPicPr>
        <xdr:cNvPr id="2052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533400" y="12830175"/>
          <a:ext cx="4543425" cy="9620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aptain.seilevel.com/Users/jbeatty/AppData/Local/Microsoft/Windows/Temporary%20Internet%20Files/Content.Outlook/VEES3U4G/Project%20Estimation%20Template%20v6%20jg%20(2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Assumptions"/>
      <sheetName val="Instructions"/>
    </sheetNames>
    <sheetDataSet>
      <sheetData sheetId="0">
        <row r="1">
          <cell r="M1" t="str">
            <v>COTS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1"/>
  <sheetViews>
    <sheetView tabSelected="1" workbookViewId="0"/>
  </sheetViews>
  <sheetFormatPr defaultRowHeight="15"/>
  <cols>
    <col min="1" max="1" width="4.28515625" customWidth="1"/>
    <col min="2" max="2" width="3.7109375" customWidth="1"/>
    <col min="3" max="3" width="98.140625" style="94" customWidth="1"/>
  </cols>
  <sheetData>
    <row r="1" spans="1:3" ht="21">
      <c r="A1" s="93" t="s">
        <v>157</v>
      </c>
    </row>
    <row r="2" spans="1:3">
      <c r="B2" s="89">
        <v>1</v>
      </c>
      <c r="C2" s="94" t="s">
        <v>250</v>
      </c>
    </row>
    <row r="3" spans="1:3">
      <c r="B3" s="89">
        <v>2</v>
      </c>
      <c r="C3" t="s">
        <v>251</v>
      </c>
    </row>
    <row r="4" spans="1:3">
      <c r="B4" s="89">
        <v>3</v>
      </c>
      <c r="C4" t="s">
        <v>252</v>
      </c>
    </row>
    <row r="6" spans="1:3" ht="21">
      <c r="A6" s="93" t="s">
        <v>158</v>
      </c>
    </row>
    <row r="7" spans="1:3" ht="18.75">
      <c r="A7" s="89"/>
      <c r="B7" s="95" t="s">
        <v>162</v>
      </c>
    </row>
    <row r="8" spans="1:3">
      <c r="B8" s="90"/>
      <c r="C8" s="17" t="s">
        <v>38</v>
      </c>
    </row>
    <row r="9" spans="1:3">
      <c r="B9" s="84"/>
      <c r="C9" s="17" t="s">
        <v>47</v>
      </c>
    </row>
    <row r="10" spans="1:3">
      <c r="B10" s="106"/>
      <c r="C10" s="17" t="s">
        <v>36</v>
      </c>
    </row>
    <row r="11" spans="1:3">
      <c r="B11" s="91"/>
      <c r="C11" s="17" t="s">
        <v>35</v>
      </c>
    </row>
    <row r="12" spans="1:3">
      <c r="B12" s="12"/>
      <c r="C12" s="42"/>
    </row>
    <row r="13" spans="1:3">
      <c r="B13" s="12"/>
      <c r="C13" s="42"/>
    </row>
    <row r="14" spans="1:3" ht="18.75">
      <c r="B14" s="96" t="s">
        <v>253</v>
      </c>
      <c r="C14" s="42"/>
    </row>
    <row r="15" spans="1:3">
      <c r="B15" s="12"/>
      <c r="C15" t="s">
        <v>254</v>
      </c>
    </row>
    <row r="16" spans="1:3">
      <c r="B16" s="12"/>
      <c r="C16" s="42"/>
    </row>
    <row r="17" spans="2:3">
      <c r="B17" s="12"/>
      <c r="C17" s="97" t="s">
        <v>5</v>
      </c>
    </row>
    <row r="18" spans="2:3">
      <c r="B18" s="12"/>
      <c r="C18" s="42"/>
    </row>
    <row r="28" spans="2:3">
      <c r="C28" t="s">
        <v>255</v>
      </c>
    </row>
    <row r="29" spans="2:3" ht="60">
      <c r="C29" s="94" t="s">
        <v>270</v>
      </c>
    </row>
    <row r="30" spans="2:3" ht="60">
      <c r="C30" s="94" t="s">
        <v>271</v>
      </c>
    </row>
    <row r="31" spans="2:3" ht="30">
      <c r="C31" s="94" t="s">
        <v>256</v>
      </c>
    </row>
    <row r="32" spans="2:3" ht="30">
      <c r="C32" s="94" t="s">
        <v>257</v>
      </c>
    </row>
    <row r="34" spans="3:3">
      <c r="C34" s="98" t="s">
        <v>159</v>
      </c>
    </row>
    <row r="35" spans="3:3">
      <c r="C35" s="94" t="s">
        <v>258</v>
      </c>
    </row>
    <row r="37" spans="3:3">
      <c r="C37" s="98" t="s">
        <v>160</v>
      </c>
    </row>
    <row r="38" spans="3:3">
      <c r="C38" t="s">
        <v>259</v>
      </c>
    </row>
    <row r="39" spans="3:3">
      <c r="C39" t="s">
        <v>260</v>
      </c>
    </row>
    <row r="40" spans="3:3" ht="30">
      <c r="C40" s="94" t="s">
        <v>272</v>
      </c>
    </row>
    <row r="50" spans="1:3">
      <c r="A50" s="89"/>
      <c r="C50" t="s">
        <v>263</v>
      </c>
    </row>
    <row r="55" spans="1:3">
      <c r="C55" t="s">
        <v>273</v>
      </c>
    </row>
    <row r="56" spans="1:3" ht="30">
      <c r="C56" s="94" t="s">
        <v>264</v>
      </c>
    </row>
    <row r="63" spans="1:3" ht="18.75">
      <c r="A63" s="89"/>
      <c r="B63" s="95" t="s">
        <v>161</v>
      </c>
      <c r="C63" s="99"/>
    </row>
    <row r="64" spans="1:3" ht="30.75">
      <c r="A64" s="89"/>
      <c r="B64" s="95"/>
      <c r="C64" s="110" t="s">
        <v>267</v>
      </c>
    </row>
    <row r="65" spans="1:3" ht="18.75">
      <c r="A65" s="89"/>
      <c r="B65" s="95"/>
      <c r="C65" t="s">
        <v>262</v>
      </c>
    </row>
    <row r="66" spans="1:3">
      <c r="C66" t="s">
        <v>261</v>
      </c>
    </row>
    <row r="68" spans="1:3">
      <c r="C68" s="79" t="s">
        <v>248</v>
      </c>
    </row>
    <row r="69" spans="1:3">
      <c r="C69" t="s">
        <v>249</v>
      </c>
    </row>
    <row r="71" spans="1:3">
      <c r="C71" s="79" t="s">
        <v>265</v>
      </c>
    </row>
    <row r="72" spans="1:3">
      <c r="C72" t="s">
        <v>266</v>
      </c>
    </row>
    <row r="74" spans="1:3">
      <c r="C74" t="s">
        <v>268</v>
      </c>
    </row>
    <row r="76" spans="1:3" ht="30">
      <c r="C76" s="94" t="s">
        <v>269</v>
      </c>
    </row>
    <row r="78" spans="1:3">
      <c r="A78" s="120" t="s">
        <v>247</v>
      </c>
    </row>
    <row r="79" spans="1:3">
      <c r="A79" s="120" t="s">
        <v>246</v>
      </c>
    </row>
    <row r="80" spans="1:3">
      <c r="A80" s="120" t="s">
        <v>285</v>
      </c>
    </row>
    <row r="81" spans="1:1">
      <c r="A81" s="120" t="s">
        <v>274</v>
      </c>
    </row>
  </sheetData>
  <phoneticPr fontId="10" type="noConversion"/>
  <printOptions gridLines="1"/>
  <pageMargins left="0.25" right="0.25" top="0.75" bottom="0.75" header="0.3" footer="0.3"/>
  <pageSetup fitToHeight="0" orientation="landscape" r:id="rId1"/>
  <headerFooter>
    <oddHeader>&amp;C&amp;K00-047Requirements Estimation Tool&amp;A&amp;R&amp;K00-047Page &amp;P of &amp;N</oddHeader>
    <oddFooter>&amp;CCopyright © 2013 by Karl Wiegers and Seilevel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1"/>
  <sheetViews>
    <sheetView workbookViewId="0">
      <selection activeCell="A2" sqref="A2"/>
    </sheetView>
  </sheetViews>
  <sheetFormatPr defaultRowHeight="15"/>
  <cols>
    <col min="1" max="1" width="9.7109375" style="8" customWidth="1"/>
    <col min="2" max="2" width="46.28515625" style="8" customWidth="1"/>
    <col min="3" max="3" width="11.85546875" style="68" customWidth="1"/>
    <col min="4" max="4" width="11.28515625" style="8" customWidth="1"/>
    <col min="5" max="5" width="11.42578125" style="8" customWidth="1"/>
    <col min="6" max="6" width="9.28515625" style="8" customWidth="1"/>
    <col min="7" max="7" width="13.140625" style="8" customWidth="1"/>
    <col min="8" max="8" width="57.5703125" style="31" customWidth="1"/>
    <col min="9" max="10" width="16" style="8" hidden="1" customWidth="1"/>
    <col min="11" max="16384" width="9.140625" style="8"/>
  </cols>
  <sheetData>
    <row r="1" spans="1:8">
      <c r="A1" s="43"/>
      <c r="B1" s="17" t="s">
        <v>38</v>
      </c>
      <c r="C1" s="8"/>
    </row>
    <row r="2" spans="1:8">
      <c r="A2" s="84"/>
      <c r="B2" s="17" t="s">
        <v>47</v>
      </c>
      <c r="C2" s="8"/>
      <c r="H2" s="125"/>
    </row>
    <row r="3" spans="1:8">
      <c r="A3" s="100"/>
      <c r="B3" s="17" t="s">
        <v>36</v>
      </c>
      <c r="C3" s="8"/>
      <c r="D3" s="17"/>
    </row>
    <row r="4" spans="1:8">
      <c r="A4" s="59"/>
      <c r="B4" s="17" t="s">
        <v>35</v>
      </c>
      <c r="C4" s="8"/>
      <c r="D4" s="17"/>
    </row>
    <row r="5" spans="1:8" s="72" customFormat="1">
      <c r="A5" s="79" t="s">
        <v>5</v>
      </c>
      <c r="C5" s="73"/>
      <c r="H5" s="49"/>
    </row>
    <row r="6" spans="1:8" s="5" customFormat="1">
      <c r="A6" s="83" t="s">
        <v>6</v>
      </c>
      <c r="B6" s="39" t="s">
        <v>7</v>
      </c>
      <c r="D6" s="5" t="s">
        <v>6</v>
      </c>
      <c r="E6" s="5" t="s">
        <v>7</v>
      </c>
      <c r="F6" s="41"/>
      <c r="G6" s="41"/>
      <c r="H6" s="38"/>
    </row>
    <row r="7" spans="1:8" s="50" customFormat="1">
      <c r="A7" s="44">
        <v>20</v>
      </c>
      <c r="B7" s="1" t="s">
        <v>31</v>
      </c>
      <c r="D7" s="121">
        <v>750000</v>
      </c>
      <c r="E7" s="130" t="s">
        <v>13</v>
      </c>
      <c r="F7" s="130"/>
      <c r="G7" s="130"/>
    </row>
    <row r="8" spans="1:8" s="50" customFormat="1">
      <c r="A8" s="44">
        <v>0</v>
      </c>
      <c r="B8" s="1" t="s">
        <v>30</v>
      </c>
      <c r="D8" s="121">
        <v>125</v>
      </c>
      <c r="E8" s="71" t="s">
        <v>14</v>
      </c>
      <c r="G8" s="86"/>
    </row>
    <row r="9" spans="1:8" s="50" customFormat="1">
      <c r="A9" s="52">
        <v>5</v>
      </c>
      <c r="B9" s="42" t="s">
        <v>29</v>
      </c>
      <c r="D9" s="57" t="s">
        <v>9</v>
      </c>
      <c r="E9" s="71" t="s">
        <v>24</v>
      </c>
    </row>
    <row r="10" spans="1:8" s="50" customFormat="1">
      <c r="A10" s="44">
        <v>1</v>
      </c>
      <c r="B10" s="17" t="s">
        <v>32</v>
      </c>
      <c r="D10" s="44">
        <v>5</v>
      </c>
      <c r="E10" s="71" t="s">
        <v>8</v>
      </c>
      <c r="F10" s="12"/>
    </row>
    <row r="11" spans="1:8" s="12" customFormat="1">
      <c r="A11" s="44">
        <v>1</v>
      </c>
      <c r="B11" s="17" t="s">
        <v>33</v>
      </c>
      <c r="D11" s="7" t="s">
        <v>16</v>
      </c>
      <c r="E11" s="16" t="s">
        <v>12</v>
      </c>
      <c r="F11" s="8"/>
    </row>
    <row r="12" spans="1:8">
      <c r="A12" s="44">
        <v>1</v>
      </c>
      <c r="B12" s="17" t="s">
        <v>34</v>
      </c>
      <c r="D12" s="7">
        <v>52</v>
      </c>
      <c r="E12" s="16" t="s">
        <v>10</v>
      </c>
      <c r="F12" s="12"/>
    </row>
    <row r="13" spans="1:8" s="12" customFormat="1" ht="15.75" customHeight="1">
      <c r="A13" s="44">
        <v>8</v>
      </c>
      <c r="B13" s="17" t="s">
        <v>28</v>
      </c>
      <c r="D13" s="7">
        <v>20</v>
      </c>
      <c r="E13" s="16" t="s">
        <v>11</v>
      </c>
    </row>
    <row r="14" spans="1:8" s="12" customFormat="1" ht="15.75" customHeight="1">
      <c r="A14" s="44">
        <v>2</v>
      </c>
      <c r="B14" s="17" t="s">
        <v>27</v>
      </c>
    </row>
    <row r="15" spans="1:8" s="12" customFormat="1" ht="15.75" customHeight="1">
      <c r="A15" s="44">
        <v>8</v>
      </c>
      <c r="B15" s="17" t="s">
        <v>26</v>
      </c>
      <c r="G15" s="51"/>
      <c r="H15" s="30"/>
    </row>
    <row r="16" spans="1:8" s="12" customFormat="1">
      <c r="A16" s="44">
        <v>1</v>
      </c>
      <c r="B16" s="53" t="s">
        <v>17</v>
      </c>
      <c r="G16" s="51"/>
      <c r="H16" s="30"/>
    </row>
    <row r="17" spans="1:8" s="72" customFormat="1">
      <c r="A17" s="79" t="s">
        <v>19</v>
      </c>
      <c r="C17" s="73"/>
      <c r="H17" s="49"/>
    </row>
    <row r="18" spans="1:8" s="5" customFormat="1" ht="34.5" customHeight="1">
      <c r="A18" s="83"/>
      <c r="B18" s="39"/>
      <c r="C18" s="5" t="s">
        <v>20</v>
      </c>
      <c r="D18" s="124" t="s">
        <v>21</v>
      </c>
      <c r="E18" s="5" t="s">
        <v>25</v>
      </c>
      <c r="F18" s="41"/>
      <c r="G18" s="41"/>
      <c r="H18" s="38"/>
    </row>
    <row r="19" spans="1:8">
      <c r="B19" s="113" t="s">
        <v>18</v>
      </c>
      <c r="C19" s="115">
        <f>C79</f>
        <v>1.125</v>
      </c>
      <c r="D19" s="118">
        <f>C70</f>
        <v>0.83333333333333337</v>
      </c>
      <c r="E19" s="118">
        <f>C62</f>
        <v>0.75520833333333337</v>
      </c>
      <c r="F19" s="17" t="s">
        <v>15</v>
      </c>
    </row>
    <row r="20" spans="1:8">
      <c r="B20" s="113" t="s">
        <v>23</v>
      </c>
      <c r="C20" s="122">
        <f>ROUND(C78,-3)</f>
        <v>113000</v>
      </c>
      <c r="D20" s="123">
        <f>ROUND(C71,-3)</f>
        <v>83000</v>
      </c>
      <c r="E20" s="123">
        <f>ROUND(C63,-3)</f>
        <v>76000</v>
      </c>
    </row>
    <row r="21" spans="1:8">
      <c r="B21" s="113" t="s">
        <v>22</v>
      </c>
      <c r="C21" s="122">
        <f>ROUND(C80,-3)</f>
        <v>293000</v>
      </c>
      <c r="D21" s="123">
        <f>ROUND(C72,-3)</f>
        <v>217000</v>
      </c>
      <c r="E21" s="123">
        <f>ROUND(C64,-3)</f>
        <v>196000</v>
      </c>
    </row>
    <row r="22" spans="1:8" s="75" customFormat="1" ht="15" customHeight="1">
      <c r="A22" s="78" t="s">
        <v>39</v>
      </c>
      <c r="B22" s="74"/>
      <c r="G22" s="48"/>
      <c r="H22" s="76"/>
    </row>
    <row r="23" spans="1:8" s="5" customFormat="1" ht="30" customHeight="1">
      <c r="A23" s="41" t="s">
        <v>40</v>
      </c>
      <c r="B23" s="41" t="s">
        <v>41</v>
      </c>
      <c r="C23" s="62" t="s">
        <v>45</v>
      </c>
      <c r="D23" s="41" t="s">
        <v>42</v>
      </c>
      <c r="E23" s="41" t="s">
        <v>46</v>
      </c>
      <c r="F23" s="41" t="s">
        <v>43</v>
      </c>
      <c r="G23" s="41" t="s">
        <v>44</v>
      </c>
      <c r="H23" s="41" t="s">
        <v>37</v>
      </c>
    </row>
    <row r="24" spans="1:8" s="22" customFormat="1">
      <c r="A24" s="22" t="s">
        <v>49</v>
      </c>
      <c r="C24" s="70">
        <f>SUM(D25:D33)</f>
        <v>148.76666666666665</v>
      </c>
      <c r="H24" s="27"/>
    </row>
    <row r="25" spans="1:8" s="22" customFormat="1">
      <c r="B25" s="17" t="s">
        <v>136</v>
      </c>
      <c r="C25" s="65"/>
      <c r="D25" s="119">
        <f t="shared" ref="D25:D31" si="0">G25/60</f>
        <v>7</v>
      </c>
      <c r="E25" s="56">
        <f ca="1">Założenia!C29</f>
        <v>420</v>
      </c>
      <c r="F25" s="85" t="s">
        <v>56</v>
      </c>
      <c r="G25" s="56">
        <f>E25</f>
        <v>420</v>
      </c>
      <c r="H25" s="27"/>
    </row>
    <row r="26" spans="1:8" s="12" customFormat="1">
      <c r="A26" s="9"/>
      <c r="B26" s="17" t="s">
        <v>135</v>
      </c>
      <c r="C26" s="65"/>
      <c r="D26" s="119">
        <f t="shared" si="0"/>
        <v>85</v>
      </c>
      <c r="E26" s="28">
        <f ca="1">Założenia!C32</f>
        <v>255</v>
      </c>
      <c r="F26" s="54">
        <f ca="1">D13</f>
        <v>20</v>
      </c>
      <c r="G26" s="55">
        <f>E26*F26</f>
        <v>5100</v>
      </c>
      <c r="H26" s="30" t="s">
        <v>55</v>
      </c>
    </row>
    <row r="27" spans="1:8" s="12" customFormat="1">
      <c r="A27" s="9"/>
      <c r="B27" s="17" t="s">
        <v>50</v>
      </c>
      <c r="C27" s="65"/>
      <c r="D27" s="119">
        <f t="shared" si="0"/>
        <v>5</v>
      </c>
      <c r="E27" s="28">
        <f ca="1">Założenia!C38</f>
        <v>300</v>
      </c>
      <c r="F27" s="85" t="s">
        <v>56</v>
      </c>
      <c r="G27" s="56">
        <f>E27</f>
        <v>300</v>
      </c>
      <c r="H27" s="30"/>
    </row>
    <row r="28" spans="1:8" s="12" customFormat="1">
      <c r="A28" s="9"/>
      <c r="B28" s="17" t="s">
        <v>54</v>
      </c>
      <c r="C28" s="65"/>
      <c r="D28" s="119">
        <f t="shared" si="0"/>
        <v>9.5</v>
      </c>
      <c r="E28" s="28">
        <f ca="1">Założenia!C39</f>
        <v>570</v>
      </c>
      <c r="F28" s="85" t="s">
        <v>56</v>
      </c>
      <c r="G28" s="56">
        <f>E28</f>
        <v>570</v>
      </c>
      <c r="H28" s="32"/>
    </row>
    <row r="29" spans="1:8" s="12" customFormat="1">
      <c r="A29" s="9"/>
      <c r="B29" s="17" t="s">
        <v>51</v>
      </c>
      <c r="C29" s="65"/>
      <c r="D29" s="119">
        <f t="shared" si="0"/>
        <v>20</v>
      </c>
      <c r="E29" s="28">
        <f ca="1">Założenia!C40</f>
        <v>1200</v>
      </c>
      <c r="F29" s="85" t="s">
        <v>56</v>
      </c>
      <c r="G29" s="56">
        <f>E29</f>
        <v>1200</v>
      </c>
      <c r="H29" s="32"/>
    </row>
    <row r="30" spans="1:8" s="12" customFormat="1">
      <c r="A30" s="9"/>
      <c r="B30" s="17" t="s">
        <v>150</v>
      </c>
      <c r="C30" s="65"/>
      <c r="D30" s="119">
        <f t="shared" si="0"/>
        <v>16</v>
      </c>
      <c r="E30" s="28">
        <f ca="1">Założenia!C44</f>
        <v>960</v>
      </c>
      <c r="F30" s="85" t="s">
        <v>56</v>
      </c>
      <c r="G30" s="56">
        <f>E30</f>
        <v>960</v>
      </c>
      <c r="H30" s="32"/>
    </row>
    <row r="31" spans="1:8" s="12" customFormat="1">
      <c r="A31" s="9"/>
      <c r="B31" s="17" t="s">
        <v>52</v>
      </c>
      <c r="C31" s="65"/>
      <c r="D31" s="119">
        <f t="shared" si="0"/>
        <v>5.6</v>
      </c>
      <c r="E31" s="61">
        <f ca="1">Założenia!C51</f>
        <v>1</v>
      </c>
      <c r="F31" s="101">
        <f ca="1">Założenia!C14</f>
        <v>336</v>
      </c>
      <c r="G31" s="56">
        <f>E31*F31</f>
        <v>336</v>
      </c>
      <c r="H31" s="30"/>
    </row>
    <row r="32" spans="1:8" s="12" customFormat="1">
      <c r="A32" s="9"/>
      <c r="B32" s="17" t="s">
        <v>53</v>
      </c>
      <c r="C32" s="65"/>
      <c r="D32" s="119">
        <f>G32/60</f>
        <v>0.66666666666666663</v>
      </c>
      <c r="E32" s="61">
        <f ca="1">Założenia!C47</f>
        <v>2</v>
      </c>
      <c r="F32" s="54">
        <f ca="1">A7</f>
        <v>20</v>
      </c>
      <c r="G32" s="56">
        <f>E32*F32</f>
        <v>40</v>
      </c>
      <c r="H32" s="30"/>
    </row>
    <row r="33" spans="1:8" s="12" customFormat="1">
      <c r="A33" s="9"/>
      <c r="B33" s="17" t="s">
        <v>172</v>
      </c>
      <c r="C33" s="65"/>
      <c r="D33" s="119">
        <f>G33/60</f>
        <v>0</v>
      </c>
      <c r="E33" s="28">
        <f ca="1">Założenia!C49</f>
        <v>240</v>
      </c>
      <c r="F33" s="54">
        <f ca="1">A8</f>
        <v>0</v>
      </c>
      <c r="G33" s="56">
        <f>E33*F33</f>
        <v>0</v>
      </c>
      <c r="H33" s="30"/>
    </row>
    <row r="34" spans="1:8" s="12" customFormat="1">
      <c r="A34" s="9"/>
      <c r="B34" s="17"/>
      <c r="C34" s="65"/>
      <c r="D34" s="47"/>
      <c r="E34" s="47"/>
      <c r="F34" s="47"/>
      <c r="G34" s="56"/>
      <c r="H34" s="30"/>
    </row>
    <row r="35" spans="1:8" s="12" customFormat="1">
      <c r="A35" s="22" t="s">
        <v>67</v>
      </c>
      <c r="B35" s="29"/>
      <c r="C35" s="70">
        <f>SUM(D36:D39)</f>
        <v>205.73333333333335</v>
      </c>
      <c r="D35" s="47"/>
      <c r="E35" s="9"/>
      <c r="F35" s="9"/>
      <c r="G35" s="9"/>
      <c r="H35" s="30" t="s">
        <v>4</v>
      </c>
    </row>
    <row r="36" spans="1:8" s="12" customFormat="1">
      <c r="A36" s="9"/>
      <c r="B36" s="30" t="s">
        <v>57</v>
      </c>
      <c r="C36" s="65"/>
      <c r="D36" s="119">
        <f>G36/60</f>
        <v>87.466666666666669</v>
      </c>
      <c r="E36" s="56">
        <f ca="1">Założenia!C65</f>
        <v>656</v>
      </c>
      <c r="F36" s="54">
        <f ca="1">A13</f>
        <v>8</v>
      </c>
      <c r="G36" s="55">
        <f>E36*F36</f>
        <v>5248</v>
      </c>
      <c r="H36" s="30"/>
    </row>
    <row r="37" spans="1:8" s="12" customFormat="1">
      <c r="A37" s="22"/>
      <c r="B37" s="29" t="s">
        <v>173</v>
      </c>
      <c r="C37" s="66"/>
      <c r="D37" s="119">
        <f>G37/60</f>
        <v>0</v>
      </c>
      <c r="E37" s="56">
        <f ca="1">Założenia!C56</f>
        <v>474</v>
      </c>
      <c r="F37" s="101">
        <f ca="1">ROUND(A9/50,0)</f>
        <v>0</v>
      </c>
      <c r="G37" s="55">
        <f>E37*F37</f>
        <v>0</v>
      </c>
      <c r="H37" s="30"/>
    </row>
    <row r="38" spans="1:8" s="12" customFormat="1">
      <c r="A38" s="9"/>
      <c r="B38" s="17" t="s">
        <v>68</v>
      </c>
      <c r="C38" s="65"/>
      <c r="D38" s="119">
        <f>G38/60</f>
        <v>115.2</v>
      </c>
      <c r="E38" s="56">
        <f ca="1">Założenia!C72</f>
        <v>216</v>
      </c>
      <c r="F38" s="101">
        <f ca="1">Założenia!C6</f>
        <v>32</v>
      </c>
      <c r="G38" s="55">
        <f>E38*F38</f>
        <v>6912</v>
      </c>
      <c r="H38" s="30"/>
    </row>
    <row r="39" spans="1:8" s="12" customFormat="1">
      <c r="A39" s="9"/>
      <c r="B39" s="17" t="s">
        <v>69</v>
      </c>
      <c r="C39" s="65"/>
      <c r="D39" s="119">
        <f>G39/60</f>
        <v>3.0666666666666669</v>
      </c>
      <c r="E39" s="56">
        <f ca="1">Założenia!C79</f>
        <v>230</v>
      </c>
      <c r="F39" s="101">
        <f ca="1">Założenia!C7</f>
        <v>0.8</v>
      </c>
      <c r="G39" s="55">
        <f>E39*F39</f>
        <v>184</v>
      </c>
      <c r="H39" s="30"/>
    </row>
    <row r="40" spans="1:8" s="12" customFormat="1">
      <c r="A40" s="9"/>
      <c r="B40" s="17"/>
      <c r="C40" s="65"/>
      <c r="D40" s="47"/>
      <c r="E40" s="9"/>
      <c r="F40" s="9"/>
      <c r="G40" s="9"/>
      <c r="H40" s="32"/>
    </row>
    <row r="41" spans="1:8" s="12" customFormat="1">
      <c r="A41" s="22" t="s">
        <v>66</v>
      </c>
      <c r="C41" s="70">
        <f>SUM(D42:D46)</f>
        <v>114.16666666666667</v>
      </c>
      <c r="D41" s="47"/>
      <c r="E41" s="9"/>
      <c r="F41" s="9"/>
      <c r="G41" s="9"/>
    </row>
    <row r="42" spans="1:8" s="12" customFormat="1" ht="15.75" customHeight="1">
      <c r="A42" s="9"/>
      <c r="B42" s="30" t="s">
        <v>73</v>
      </c>
      <c r="C42" s="65"/>
      <c r="D42" s="119">
        <f>G42/60</f>
        <v>12.5</v>
      </c>
      <c r="E42" s="56">
        <f ca="1">Założenia!C87</f>
        <v>750</v>
      </c>
      <c r="F42" s="101">
        <f ca="1">IF(ROUND(SUM(A10+A11+A12)/Założenia!H17,0)=0,1,ROUND(SUM(A10+A11+A12)/Założenia!H17,0))</f>
        <v>1</v>
      </c>
      <c r="G42" s="55">
        <f>E42*F42</f>
        <v>750</v>
      </c>
      <c r="H42" s="30"/>
    </row>
    <row r="43" spans="1:8" s="12" customFormat="1" ht="15.75" customHeight="1">
      <c r="A43" s="9"/>
      <c r="B43" s="30" t="s">
        <v>70</v>
      </c>
      <c r="C43" s="65"/>
      <c r="D43" s="119">
        <f>G43/60</f>
        <v>5</v>
      </c>
      <c r="E43" s="56">
        <f ca="1">Założenia!D92</f>
        <v>300</v>
      </c>
      <c r="F43" s="54">
        <f ca="1">A10</f>
        <v>1</v>
      </c>
      <c r="G43" s="55">
        <f>E43*F43</f>
        <v>300</v>
      </c>
      <c r="H43" s="30"/>
    </row>
    <row r="44" spans="1:8" s="12" customFormat="1" ht="15.75" customHeight="1">
      <c r="A44" s="9"/>
      <c r="B44" s="30" t="s">
        <v>71</v>
      </c>
      <c r="C44" s="65"/>
      <c r="D44" s="119">
        <f>G44/60</f>
        <v>16.666666666666668</v>
      </c>
      <c r="E44" s="56">
        <f ca="1">Założenia!D93</f>
        <v>1000</v>
      </c>
      <c r="F44" s="54">
        <f ca="1">A11</f>
        <v>1</v>
      </c>
      <c r="G44" s="55">
        <f>E44*F44</f>
        <v>1000</v>
      </c>
      <c r="H44" s="30"/>
    </row>
    <row r="45" spans="1:8" s="12" customFormat="1" ht="15.75" customHeight="1">
      <c r="A45" s="9"/>
      <c r="B45" s="30" t="s">
        <v>72</v>
      </c>
      <c r="C45" s="65"/>
      <c r="D45" s="119">
        <f>G45/60</f>
        <v>40</v>
      </c>
      <c r="E45" s="56">
        <f ca="1">Założenia!D94</f>
        <v>2400</v>
      </c>
      <c r="F45" s="54">
        <f ca="1">A12</f>
        <v>1</v>
      </c>
      <c r="G45" s="55">
        <f>E45*F45</f>
        <v>2400</v>
      </c>
      <c r="H45" s="30"/>
    </row>
    <row r="46" spans="1:8" s="12" customFormat="1">
      <c r="A46" s="9"/>
      <c r="B46" s="25" t="s">
        <v>284</v>
      </c>
      <c r="C46" s="65"/>
      <c r="D46" s="119">
        <f>G46/60</f>
        <v>40</v>
      </c>
      <c r="E46" s="56">
        <f ca="1">Założenia!C95</f>
        <v>300</v>
      </c>
      <c r="F46" s="54">
        <f ca="1">A15</f>
        <v>8</v>
      </c>
      <c r="G46" s="55">
        <f>E46*F46</f>
        <v>2400</v>
      </c>
      <c r="H46" s="30" t="s">
        <v>58</v>
      </c>
    </row>
    <row r="47" spans="1:8" s="12" customFormat="1">
      <c r="A47" s="9"/>
      <c r="C47" s="9"/>
      <c r="D47" s="47"/>
      <c r="E47" s="9"/>
      <c r="F47" s="9"/>
      <c r="G47" s="9"/>
      <c r="H47" s="33"/>
    </row>
    <row r="48" spans="1:8" s="12" customFormat="1">
      <c r="A48" s="22" t="s">
        <v>65</v>
      </c>
      <c r="C48" s="70">
        <f>SUM(D49:D54)</f>
        <v>135.5</v>
      </c>
      <c r="D48" s="47"/>
      <c r="E48" s="9"/>
      <c r="F48" s="9"/>
      <c r="G48" s="9"/>
      <c r="H48" s="25"/>
    </row>
    <row r="49" spans="1:10" s="12" customFormat="1">
      <c r="B49" s="17" t="s">
        <v>27</v>
      </c>
      <c r="C49" s="65"/>
      <c r="D49" s="119">
        <f t="shared" ref="D49:D54" si="1">G49/60</f>
        <v>7</v>
      </c>
      <c r="E49" s="28">
        <f ca="1">Założenia!C104</f>
        <v>210</v>
      </c>
      <c r="F49" s="54">
        <f ca="1">A14</f>
        <v>2</v>
      </c>
      <c r="G49" s="55">
        <f t="shared" ref="G49:G54" si="2">E49*F49</f>
        <v>420</v>
      </c>
      <c r="H49" s="25"/>
    </row>
    <row r="50" spans="1:10" s="12" customFormat="1">
      <c r="A50" s="9"/>
      <c r="B50" s="17" t="s">
        <v>64</v>
      </c>
      <c r="C50" s="65"/>
      <c r="D50" s="119">
        <f t="shared" si="1"/>
        <v>49.5</v>
      </c>
      <c r="E50" s="28">
        <f ca="1">Założenia!C109</f>
        <v>495</v>
      </c>
      <c r="F50" s="102">
        <f ca="1">Założenia!C8</f>
        <v>6</v>
      </c>
      <c r="G50" s="55">
        <f t="shared" si="2"/>
        <v>2970</v>
      </c>
      <c r="H50" s="25"/>
    </row>
    <row r="51" spans="1:10" s="12" customFormat="1">
      <c r="B51" s="17" t="s">
        <v>63</v>
      </c>
      <c r="C51" s="65"/>
      <c r="D51" s="119">
        <f t="shared" si="1"/>
        <v>60</v>
      </c>
      <c r="E51" s="28">
        <f ca="1">Założenia!C115</f>
        <v>180</v>
      </c>
      <c r="F51" s="101">
        <f ca="1">Założenia!C9</f>
        <v>20</v>
      </c>
      <c r="G51" s="55">
        <f t="shared" si="2"/>
        <v>3600</v>
      </c>
      <c r="H51" s="25"/>
    </row>
    <row r="52" spans="1:10" s="12" customFormat="1">
      <c r="A52" s="9"/>
      <c r="B52" s="17" t="s">
        <v>60</v>
      </c>
      <c r="C52" s="65"/>
      <c r="D52" s="119">
        <f t="shared" si="1"/>
        <v>4.5</v>
      </c>
      <c r="E52" s="28">
        <f ca="1">Założenia!C119</f>
        <v>270</v>
      </c>
      <c r="F52" s="101">
        <f ca="1">Założenia!C10</f>
        <v>1</v>
      </c>
      <c r="G52" s="55">
        <f t="shared" si="2"/>
        <v>270</v>
      </c>
      <c r="H52" s="30"/>
    </row>
    <row r="53" spans="1:10" s="12" customFormat="1">
      <c r="A53" s="9"/>
      <c r="B53" s="17" t="s">
        <v>61</v>
      </c>
      <c r="C53" s="65"/>
      <c r="D53" s="119">
        <f t="shared" si="1"/>
        <v>4.5</v>
      </c>
      <c r="E53" s="28">
        <f ca="1">Założenia!C125</f>
        <v>270</v>
      </c>
      <c r="F53" s="101">
        <f ca="1">Założenia!C11</f>
        <v>1</v>
      </c>
      <c r="G53" s="55">
        <f t="shared" si="2"/>
        <v>270</v>
      </c>
      <c r="H53" s="30"/>
    </row>
    <row r="54" spans="1:10" s="12" customFormat="1">
      <c r="A54" s="9"/>
      <c r="B54" s="17" t="s">
        <v>62</v>
      </c>
      <c r="C54" s="65"/>
      <c r="D54" s="119">
        <f t="shared" si="1"/>
        <v>10</v>
      </c>
      <c r="E54" s="28">
        <f ca="1">Założenia!C131</f>
        <v>600</v>
      </c>
      <c r="F54" s="54">
        <f ca="1">A16</f>
        <v>1</v>
      </c>
      <c r="G54" s="55">
        <f t="shared" si="2"/>
        <v>600</v>
      </c>
      <c r="H54" s="30"/>
    </row>
    <row r="55" spans="1:10" s="12" customFormat="1">
      <c r="A55" s="9"/>
      <c r="B55" s="17"/>
      <c r="C55" s="65"/>
      <c r="D55" s="47"/>
      <c r="E55" s="28"/>
      <c r="F55" s="28"/>
      <c r="G55" s="55"/>
      <c r="H55" s="30"/>
    </row>
    <row r="56" spans="1:10" s="80" customFormat="1">
      <c r="A56" s="79" t="s">
        <v>48</v>
      </c>
      <c r="C56" s="77"/>
      <c r="H56" s="81"/>
    </row>
    <row r="57" spans="1:10" s="12" customFormat="1">
      <c r="B57" s="17" t="s">
        <v>59</v>
      </c>
      <c r="C57" s="28">
        <f>SUM(C24:C54)</f>
        <v>604.16666666666674</v>
      </c>
      <c r="D57" s="10"/>
      <c r="G57" s="28"/>
      <c r="H57" s="33"/>
    </row>
    <row r="58" spans="1:10" s="12" customFormat="1">
      <c r="B58" s="17" t="s">
        <v>74</v>
      </c>
      <c r="C58" s="111">
        <f>IF(D11="Tak",0.1*C57,0)</f>
        <v>0</v>
      </c>
      <c r="D58" s="9"/>
      <c r="E58" s="9"/>
      <c r="F58" s="9"/>
      <c r="G58" s="9"/>
      <c r="H58" s="17"/>
    </row>
    <row r="59" spans="1:10">
      <c r="A59" s="35"/>
      <c r="B59" s="34"/>
      <c r="C59" s="67"/>
      <c r="E59" s="12"/>
      <c r="F59" s="10"/>
    </row>
    <row r="60" spans="1:10">
      <c r="A60" s="22" t="s">
        <v>79</v>
      </c>
      <c r="B60" s="34"/>
      <c r="C60" s="67"/>
      <c r="E60" s="12"/>
      <c r="F60" s="10"/>
    </row>
    <row r="61" spans="1:10">
      <c r="A61" s="33"/>
      <c r="B61" s="25" t="s">
        <v>75</v>
      </c>
      <c r="C61" s="104">
        <f>SUM(C57:C58)</f>
        <v>604.16666666666674</v>
      </c>
      <c r="H61" s="125"/>
    </row>
    <row r="62" spans="1:10">
      <c r="A62" s="33"/>
      <c r="B62" s="42" t="s">
        <v>80</v>
      </c>
      <c r="C62" s="116">
        <f>C61/40/D13</f>
        <v>0.75520833333333337</v>
      </c>
      <c r="D62" s="17" t="s">
        <v>81</v>
      </c>
      <c r="H62" s="22"/>
      <c r="J62" s="68"/>
    </row>
    <row r="63" spans="1:10">
      <c r="A63" s="33"/>
      <c r="B63" s="42" t="s">
        <v>88</v>
      </c>
      <c r="C63" s="128">
        <f>C61*D$8</f>
        <v>75520.833333333343</v>
      </c>
      <c r="D63" s="17" t="s">
        <v>90</v>
      </c>
      <c r="H63" s="22"/>
      <c r="J63" s="68"/>
    </row>
    <row r="64" spans="1:10">
      <c r="A64" s="33"/>
      <c r="B64" s="42" t="s">
        <v>89</v>
      </c>
      <c r="C64" s="128">
        <f>C62*D$12*40*D$8</f>
        <v>196354.16666666669</v>
      </c>
      <c r="D64" s="17" t="s">
        <v>91</v>
      </c>
      <c r="H64" s="22"/>
      <c r="I64" s="17" t="s">
        <v>1</v>
      </c>
      <c r="J64" s="69">
        <f>C61*D8</f>
        <v>75520.833333333343</v>
      </c>
    </row>
    <row r="65" spans="1:10">
      <c r="A65" s="17"/>
      <c r="H65" s="8"/>
      <c r="I65" s="17" t="s">
        <v>0</v>
      </c>
      <c r="J65" s="69">
        <f>C70*D8*(D12-D13)*40</f>
        <v>133333.33333333334</v>
      </c>
    </row>
    <row r="67" spans="1:10">
      <c r="A67" s="22" t="s">
        <v>83</v>
      </c>
      <c r="D67" s="17"/>
    </row>
    <row r="68" spans="1:10">
      <c r="B68" s="42" t="s">
        <v>85</v>
      </c>
      <c r="C68" s="117">
        <v>6</v>
      </c>
      <c r="G68" s="42"/>
    </row>
    <row r="69" spans="1:10" ht="30">
      <c r="B69" s="42" t="s">
        <v>86</v>
      </c>
      <c r="C69" s="117">
        <v>3</v>
      </c>
    </row>
    <row r="70" spans="1:10">
      <c r="B70" s="42" t="s">
        <v>82</v>
      </c>
      <c r="C70" s="116">
        <f>IF(D9="COTS",D10/C69,D10/C68)</f>
        <v>0.83333333333333337</v>
      </c>
    </row>
    <row r="71" spans="1:10">
      <c r="B71" s="125" t="s">
        <v>87</v>
      </c>
      <c r="C71" s="128">
        <f>C70*D$13*40*D$8</f>
        <v>83333.333333333343</v>
      </c>
      <c r="D71" s="17" t="s">
        <v>90</v>
      </c>
      <c r="H71" s="125"/>
    </row>
    <row r="72" spans="1:10">
      <c r="B72" s="42" t="s">
        <v>89</v>
      </c>
      <c r="C72" s="128">
        <f>C70*D$12*40*D$8</f>
        <v>216666.66666666669</v>
      </c>
      <c r="D72" s="17" t="s">
        <v>91</v>
      </c>
    </row>
    <row r="73" spans="1:10">
      <c r="C73" s="8"/>
      <c r="D73" s="17"/>
    </row>
    <row r="74" spans="1:10">
      <c r="B74" s="42"/>
      <c r="C74" s="114"/>
    </row>
    <row r="75" spans="1:10">
      <c r="A75" s="22" t="s">
        <v>84</v>
      </c>
      <c r="H75" s="125"/>
    </row>
    <row r="76" spans="1:10">
      <c r="B76" s="42" t="s">
        <v>77</v>
      </c>
      <c r="C76" s="129">
        <f>D7</f>
        <v>750000</v>
      </c>
    </row>
    <row r="77" spans="1:10">
      <c r="B77" s="42" t="s">
        <v>92</v>
      </c>
      <c r="C77" s="112">
        <v>0.15</v>
      </c>
      <c r="D77" s="17" t="s">
        <v>76</v>
      </c>
      <c r="H77" s="125"/>
    </row>
    <row r="78" spans="1:10">
      <c r="B78" s="125" t="s">
        <v>93</v>
      </c>
      <c r="C78" s="128">
        <f>C77*C76</f>
        <v>112500</v>
      </c>
      <c r="H78" s="125"/>
    </row>
    <row r="79" spans="1:10">
      <c r="B79" s="125" t="s">
        <v>94</v>
      </c>
      <c r="C79" s="128">
        <f>C78/D8/(D13*40)</f>
        <v>1.125</v>
      </c>
      <c r="D79" s="17" t="s">
        <v>90</v>
      </c>
    </row>
    <row r="80" spans="1:10">
      <c r="B80" s="42" t="s">
        <v>22</v>
      </c>
      <c r="C80" s="128">
        <f>C79*D12*D8*40</f>
        <v>292500</v>
      </c>
      <c r="D80" s="17" t="s">
        <v>91</v>
      </c>
    </row>
    <row r="81" spans="2:2">
      <c r="B81" s="42"/>
    </row>
  </sheetData>
  <mergeCells count="1">
    <mergeCell ref="E7:G7"/>
  </mergeCells>
  <phoneticPr fontId="10" type="noConversion"/>
  <dataValidations disablePrompts="1" count="2">
    <dataValidation type="list" allowBlank="1" showInputMessage="1" showErrorMessage="1" sqref="D11">
      <formula1>"Tak,Nie"</formula1>
    </dataValidation>
    <dataValidation type="list" allowBlank="1" showInputMessage="1" showErrorMessage="1" sqref="D9">
      <formula1>"z półki,standard"</formula1>
    </dataValidation>
  </dataValidations>
  <printOptions gridLines="1"/>
  <pageMargins left="0.25" right="0.25" top="0.75" bottom="0.75" header="0.3" footer="0.3"/>
  <pageSetup scale="89" fitToHeight="0" orientation="landscape" r:id="rId1"/>
  <headerFooter>
    <oddHeader>&amp;C&amp;K00-045Requirements Estimation Tool&amp;A&amp;R&amp;K00-045Page &amp;P of &amp;N</oddHeader>
  </headerFooter>
  <rowBreaks count="2" manualBreakCount="2">
    <brk id="40" max="16383" man="1"/>
    <brk id="5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7"/>
  <sheetViews>
    <sheetView workbookViewId="0"/>
  </sheetViews>
  <sheetFormatPr defaultRowHeight="15"/>
  <cols>
    <col min="1" max="1" width="10" style="6" customWidth="1"/>
    <col min="2" max="2" width="51" style="6" customWidth="1"/>
    <col min="3" max="3" width="12.28515625" style="6" customWidth="1"/>
    <col min="4" max="4" width="9.7109375" style="6" customWidth="1"/>
    <col min="5" max="5" width="17.140625" style="6" customWidth="1"/>
    <col min="6" max="6" width="11.28515625" style="6" customWidth="1"/>
    <col min="7" max="7" width="82.85546875" style="6" customWidth="1"/>
    <col min="8" max="8" width="12.42578125" style="6" customWidth="1"/>
    <col min="9" max="9" width="12.7109375" style="6" customWidth="1"/>
    <col min="10" max="16384" width="9.140625" style="6"/>
  </cols>
  <sheetData>
    <row r="1" spans="1:10" s="8" customFormat="1">
      <c r="A1" s="43"/>
      <c r="B1" s="17" t="s">
        <v>38</v>
      </c>
      <c r="H1" s="31"/>
      <c r="I1" s="31"/>
    </row>
    <row r="2" spans="1:10" s="8" customFormat="1">
      <c r="A2" s="84"/>
      <c r="B2" s="17" t="s">
        <v>47</v>
      </c>
      <c r="H2" s="31"/>
      <c r="I2" s="31"/>
    </row>
    <row r="3" spans="1:10" s="8" customFormat="1">
      <c r="A3" s="100"/>
      <c r="B3" s="17" t="s">
        <v>36</v>
      </c>
      <c r="D3" s="17"/>
      <c r="H3" s="31"/>
      <c r="I3" s="31"/>
    </row>
    <row r="4" spans="1:10" s="45" customFormat="1">
      <c r="A4" s="79" t="s">
        <v>100</v>
      </c>
    </row>
    <row r="5" spans="1:10" s="5" customFormat="1" ht="30">
      <c r="A5" s="82"/>
      <c r="B5" s="5" t="s">
        <v>3</v>
      </c>
      <c r="C5" s="62" t="s">
        <v>78</v>
      </c>
      <c r="D5" s="107" t="s">
        <v>117</v>
      </c>
      <c r="G5" s="5" t="s">
        <v>118</v>
      </c>
      <c r="H5" s="62" t="s">
        <v>2</v>
      </c>
    </row>
    <row r="6" spans="1:10" s="2" customFormat="1">
      <c r="B6" s="40" t="s">
        <v>68</v>
      </c>
      <c r="C6" s="103">
        <f ca="1">Podsumowanie!A13*H7</f>
        <v>32</v>
      </c>
      <c r="D6" s="17" t="s">
        <v>98</v>
      </c>
      <c r="E6" s="6"/>
      <c r="G6" s="16" t="s">
        <v>101</v>
      </c>
      <c r="H6" s="52">
        <v>20</v>
      </c>
      <c r="J6" s="16"/>
    </row>
    <row r="7" spans="1:10" s="2" customFormat="1">
      <c r="B7" s="40" t="s">
        <v>69</v>
      </c>
      <c r="C7" s="103">
        <f ca="1">Podsumowanie!A13*H8</f>
        <v>0.8</v>
      </c>
      <c r="D7" s="17" t="s">
        <v>103</v>
      </c>
      <c r="E7" s="6"/>
      <c r="G7" s="16" t="s">
        <v>102</v>
      </c>
      <c r="H7" s="52">
        <v>4</v>
      </c>
      <c r="J7" s="16"/>
    </row>
    <row r="8" spans="1:10" s="2" customFormat="1">
      <c r="B8" s="40" t="s">
        <v>64</v>
      </c>
      <c r="C8" s="104">
        <f ca="1">Podsumowanie!A14*H14</f>
        <v>6</v>
      </c>
      <c r="D8" s="17" t="s">
        <v>27</v>
      </c>
      <c r="E8" s="40"/>
      <c r="G8" s="16" t="s">
        <v>105</v>
      </c>
      <c r="H8" s="52">
        <v>0.1</v>
      </c>
      <c r="J8" s="16"/>
    </row>
    <row r="9" spans="1:10" s="2" customFormat="1">
      <c r="B9" s="40" t="s">
        <v>63</v>
      </c>
      <c r="C9" s="103">
        <f ca="1">Podsumowanie!A14*H10</f>
        <v>20</v>
      </c>
      <c r="D9" s="17" t="s">
        <v>27</v>
      </c>
      <c r="G9" s="16" t="s">
        <v>104</v>
      </c>
      <c r="H9" s="52">
        <v>10</v>
      </c>
      <c r="J9" s="16"/>
    </row>
    <row r="10" spans="1:10" s="2" customFormat="1">
      <c r="B10" s="40" t="s">
        <v>60</v>
      </c>
      <c r="C10" s="103">
        <f ca="1">Podsumowanie!A14*H12</f>
        <v>1</v>
      </c>
      <c r="D10" s="17" t="s">
        <v>27</v>
      </c>
      <c r="E10" s="6"/>
      <c r="G10" s="17" t="s">
        <v>99</v>
      </c>
      <c r="H10" s="52">
        <v>10</v>
      </c>
      <c r="J10" s="16"/>
    </row>
    <row r="11" spans="1:10" s="2" customFormat="1">
      <c r="B11" s="40" t="s">
        <v>61</v>
      </c>
      <c r="C11" s="103">
        <f ca="1">Podsumowanie!A14*H12</f>
        <v>1</v>
      </c>
      <c r="D11" s="17" t="s">
        <v>27</v>
      </c>
      <c r="E11" s="6"/>
      <c r="G11" s="16" t="s">
        <v>106</v>
      </c>
      <c r="H11" s="52">
        <v>15</v>
      </c>
      <c r="J11" s="16"/>
    </row>
    <row r="12" spans="1:10" s="2" customFormat="1">
      <c r="B12" s="40" t="s">
        <v>95</v>
      </c>
      <c r="C12" s="103">
        <f ca="1">Podsumowanie!A13*H22</f>
        <v>112</v>
      </c>
      <c r="D12" s="17" t="s">
        <v>103</v>
      </c>
      <c r="G12" s="16" t="s">
        <v>108</v>
      </c>
      <c r="H12" s="52">
        <v>0.5</v>
      </c>
      <c r="J12" s="16"/>
    </row>
    <row r="13" spans="1:10" s="2" customFormat="1">
      <c r="B13" s="40" t="s">
        <v>96</v>
      </c>
      <c r="C13" s="103">
        <f ca="1">Podsumowanie!A13*H22*H21</f>
        <v>336</v>
      </c>
      <c r="D13" s="17" t="s">
        <v>103</v>
      </c>
      <c r="G13" s="16" t="s">
        <v>107</v>
      </c>
      <c r="H13" s="52">
        <v>10</v>
      </c>
      <c r="J13" s="16"/>
    </row>
    <row r="14" spans="1:10" s="2" customFormat="1">
      <c r="B14" s="40" t="s">
        <v>97</v>
      </c>
      <c r="C14" s="103">
        <f ca="1">Podsumowanie!A13*H22*H25</f>
        <v>336</v>
      </c>
      <c r="D14" s="17" t="s">
        <v>103</v>
      </c>
      <c r="E14" s="40"/>
      <c r="G14" s="16" t="s">
        <v>109</v>
      </c>
      <c r="H14" s="52">
        <v>3</v>
      </c>
      <c r="J14" s="16"/>
    </row>
    <row r="15" spans="1:10" s="2" customFormat="1">
      <c r="B15" s="40" t="s">
        <v>4</v>
      </c>
      <c r="C15" s="40"/>
      <c r="D15" s="17"/>
      <c r="E15" s="40"/>
      <c r="G15" s="40" t="s">
        <v>127</v>
      </c>
      <c r="H15" s="108">
        <f>1/3</f>
        <v>0.33333333333333331</v>
      </c>
      <c r="J15" s="16"/>
    </row>
    <row r="16" spans="1:10" s="2" customFormat="1">
      <c r="B16" s="6"/>
      <c r="C16" s="68"/>
      <c r="E16" s="40"/>
      <c r="G16" s="16" t="s">
        <v>110</v>
      </c>
      <c r="H16" s="52">
        <v>50</v>
      </c>
      <c r="I16" s="4"/>
      <c r="J16" s="16"/>
    </row>
    <row r="17" spans="1:10" s="50" customFormat="1">
      <c r="C17" s="64" t="s">
        <v>2</v>
      </c>
      <c r="D17" s="92"/>
      <c r="E17" s="92"/>
      <c r="G17" s="16" t="s">
        <v>111</v>
      </c>
      <c r="H17" s="52">
        <v>50</v>
      </c>
      <c r="I17" s="71"/>
      <c r="J17" s="16"/>
    </row>
    <row r="18" spans="1:10" s="2" customFormat="1">
      <c r="B18" s="50"/>
      <c r="D18" s="8"/>
      <c r="E18" s="40"/>
      <c r="G18" s="16" t="s">
        <v>112</v>
      </c>
      <c r="H18" s="52">
        <v>15</v>
      </c>
      <c r="J18" s="16"/>
    </row>
    <row r="19" spans="1:10" s="2" customFormat="1">
      <c r="B19" s="50"/>
      <c r="D19" s="8"/>
      <c r="E19" s="40"/>
      <c r="G19" s="16" t="s">
        <v>113</v>
      </c>
      <c r="H19" s="52">
        <v>20</v>
      </c>
      <c r="J19" s="16"/>
    </row>
    <row r="20" spans="1:10" s="2" customFormat="1">
      <c r="B20" s="50"/>
      <c r="D20" s="8"/>
      <c r="E20" s="40"/>
      <c r="G20" s="16" t="s">
        <v>128</v>
      </c>
      <c r="H20" s="52">
        <v>0.7</v>
      </c>
      <c r="J20" s="16"/>
    </row>
    <row r="21" spans="1:10" s="2" customFormat="1">
      <c r="B21" s="50"/>
      <c r="D21" s="8"/>
      <c r="E21" s="40"/>
      <c r="G21" s="16" t="s">
        <v>275</v>
      </c>
      <c r="H21" s="52">
        <v>3</v>
      </c>
      <c r="J21" s="16"/>
    </row>
    <row r="22" spans="1:10" s="2" customFormat="1">
      <c r="B22" s="50"/>
      <c r="D22" s="8"/>
      <c r="E22" s="40"/>
      <c r="G22" s="16" t="s">
        <v>114</v>
      </c>
      <c r="H22" s="103">
        <f>H6*H20</f>
        <v>14</v>
      </c>
      <c r="J22" s="16"/>
    </row>
    <row r="23" spans="1:10" s="2" customFormat="1">
      <c r="B23" s="50"/>
      <c r="D23" s="8"/>
      <c r="E23" s="40"/>
      <c r="G23" s="16" t="s">
        <v>115</v>
      </c>
      <c r="H23" s="103">
        <f>H22*H21</f>
        <v>42</v>
      </c>
      <c r="J23" s="16"/>
    </row>
    <row r="24" spans="1:10" s="2" customFormat="1">
      <c r="B24" s="50"/>
      <c r="D24" s="8"/>
      <c r="E24" s="40"/>
      <c r="G24" s="16" t="s">
        <v>129</v>
      </c>
      <c r="H24" s="52">
        <v>4</v>
      </c>
    </row>
    <row r="25" spans="1:10" s="2" customFormat="1">
      <c r="B25" s="50"/>
      <c r="D25" s="8"/>
      <c r="E25" s="40"/>
      <c r="G25" s="16" t="s">
        <v>116</v>
      </c>
      <c r="H25" s="52">
        <v>3</v>
      </c>
    </row>
    <row r="26" spans="1:10" s="45" customFormat="1">
      <c r="A26" s="79" t="s">
        <v>119</v>
      </c>
      <c r="B26" s="81"/>
      <c r="E26" s="72"/>
      <c r="I26" s="72"/>
    </row>
    <row r="27" spans="1:10" s="87" customFormat="1" ht="60">
      <c r="A27" s="41" t="s">
        <v>40</v>
      </c>
      <c r="B27" s="41" t="s">
        <v>41</v>
      </c>
      <c r="C27" s="41" t="s">
        <v>134</v>
      </c>
      <c r="D27" s="41" t="s">
        <v>120</v>
      </c>
      <c r="E27" s="41" t="s">
        <v>130</v>
      </c>
      <c r="F27" s="41" t="s">
        <v>121</v>
      </c>
      <c r="G27" s="41" t="s">
        <v>37</v>
      </c>
      <c r="H27" s="41" t="s">
        <v>131</v>
      </c>
      <c r="I27" s="41" t="s">
        <v>132</v>
      </c>
    </row>
    <row r="28" spans="1:10" s="3" customFormat="1">
      <c r="A28" s="22" t="s">
        <v>49</v>
      </c>
      <c r="C28" s="22"/>
      <c r="E28" s="15"/>
      <c r="F28" s="15"/>
      <c r="H28" s="15"/>
      <c r="I28" s="15"/>
    </row>
    <row r="29" spans="1:10" s="3" customFormat="1">
      <c r="B29" s="22" t="s">
        <v>136</v>
      </c>
      <c r="C29" s="20">
        <f>SUM(D30:D31)</f>
        <v>420</v>
      </c>
      <c r="E29" s="15"/>
      <c r="F29" s="23"/>
      <c r="H29" s="15"/>
      <c r="I29" s="15"/>
    </row>
    <row r="30" spans="1:10" s="4" customFormat="1">
      <c r="A30" s="11"/>
      <c r="B30" s="19" t="s">
        <v>138</v>
      </c>
      <c r="C30" s="22"/>
      <c r="D30" s="28">
        <f xml:space="preserve"> E30</f>
        <v>180</v>
      </c>
      <c r="E30" s="14">
        <f>AVERAGE(H30:I30)</f>
        <v>180</v>
      </c>
      <c r="F30" s="9" t="s">
        <v>56</v>
      </c>
      <c r="G30" s="40" t="s">
        <v>137</v>
      </c>
      <c r="H30" s="11">
        <v>120</v>
      </c>
      <c r="I30" s="9">
        <v>240</v>
      </c>
    </row>
    <row r="31" spans="1:10" s="4" customFormat="1">
      <c r="A31" s="11"/>
      <c r="B31" s="19" t="s">
        <v>276</v>
      </c>
      <c r="C31" s="22"/>
      <c r="D31" s="28">
        <f xml:space="preserve"> E31</f>
        <v>240</v>
      </c>
      <c r="E31" s="14">
        <f>AVERAGE(H31:I31)</f>
        <v>240</v>
      </c>
      <c r="F31" s="9" t="s">
        <v>56</v>
      </c>
      <c r="G31" s="40" t="s">
        <v>133</v>
      </c>
      <c r="H31" s="11">
        <v>120</v>
      </c>
      <c r="I31" s="9">
        <v>360</v>
      </c>
    </row>
    <row r="32" spans="1:10" s="3" customFormat="1">
      <c r="B32" s="22" t="s">
        <v>135</v>
      </c>
      <c r="C32" s="20">
        <f>SUM(D33:D36)</f>
        <v>255</v>
      </c>
      <c r="D32" s="4"/>
      <c r="E32" s="23"/>
      <c r="F32" s="23"/>
      <c r="G32" s="40"/>
      <c r="H32" s="15"/>
      <c r="I32" s="15"/>
    </row>
    <row r="33" spans="1:9" s="4" customFormat="1">
      <c r="A33" s="11"/>
      <c r="B33" s="19" t="s">
        <v>142</v>
      </c>
      <c r="C33" s="22"/>
      <c r="D33" s="28">
        <f xml:space="preserve"> E33</f>
        <v>60</v>
      </c>
      <c r="E33" s="14">
        <v>60</v>
      </c>
      <c r="F33" s="9" t="s">
        <v>56</v>
      </c>
      <c r="G33" s="40" t="s">
        <v>163</v>
      </c>
      <c r="H33" s="11">
        <v>15</v>
      </c>
      <c r="I33" s="9">
        <v>90</v>
      </c>
    </row>
    <row r="34" spans="1:9" s="4" customFormat="1">
      <c r="A34" s="11"/>
      <c r="B34" s="19" t="s">
        <v>141</v>
      </c>
      <c r="C34" s="22"/>
      <c r="D34" s="28">
        <f xml:space="preserve"> E34</f>
        <v>60</v>
      </c>
      <c r="E34" s="14">
        <v>60</v>
      </c>
      <c r="F34" s="9" t="s">
        <v>56</v>
      </c>
      <c r="G34" s="40" t="s">
        <v>164</v>
      </c>
      <c r="H34" s="11">
        <v>15</v>
      </c>
      <c r="I34" s="9">
        <v>120</v>
      </c>
    </row>
    <row r="35" spans="1:9" s="4" customFormat="1">
      <c r="A35" s="11"/>
      <c r="B35" s="26" t="s">
        <v>144</v>
      </c>
      <c r="C35" s="22"/>
      <c r="D35" s="28">
        <f xml:space="preserve"> E35</f>
        <v>75</v>
      </c>
      <c r="E35" s="14">
        <f>15*5</f>
        <v>75</v>
      </c>
      <c r="F35" s="9" t="s">
        <v>56</v>
      </c>
      <c r="G35" s="40" t="s">
        <v>165</v>
      </c>
      <c r="H35" s="11">
        <v>30</v>
      </c>
      <c r="I35" s="9">
        <v>90</v>
      </c>
    </row>
    <row r="36" spans="1:9" s="4" customFormat="1">
      <c r="A36" s="11"/>
      <c r="B36" s="26" t="s">
        <v>143</v>
      </c>
      <c r="C36" s="22"/>
      <c r="D36" s="28">
        <f xml:space="preserve"> E36</f>
        <v>60</v>
      </c>
      <c r="E36" s="14">
        <v>60</v>
      </c>
      <c r="F36" s="9" t="s">
        <v>56</v>
      </c>
      <c r="G36" s="16" t="s">
        <v>166</v>
      </c>
      <c r="H36" s="11">
        <v>30</v>
      </c>
      <c r="I36" s="9">
        <v>120</v>
      </c>
    </row>
    <row r="37" spans="1:9" s="4" customFormat="1">
      <c r="A37" s="11"/>
      <c r="B37" s="22" t="s">
        <v>148</v>
      </c>
      <c r="C37" s="20"/>
      <c r="D37" s="28"/>
      <c r="E37" s="24"/>
      <c r="F37" s="9"/>
      <c r="H37" s="11"/>
      <c r="I37" s="9"/>
    </row>
    <row r="38" spans="1:9" s="3" customFormat="1">
      <c r="B38" s="26" t="s">
        <v>145</v>
      </c>
      <c r="C38" s="20">
        <f>SUM(D38)</f>
        <v>300</v>
      </c>
      <c r="D38" s="28">
        <f xml:space="preserve"> E38</f>
        <v>300</v>
      </c>
      <c r="E38" s="14">
        <f>AVERAGE(H38:I38)</f>
        <v>300</v>
      </c>
      <c r="F38" s="9" t="s">
        <v>56</v>
      </c>
      <c r="G38" s="16" t="s">
        <v>167</v>
      </c>
      <c r="H38" s="11">
        <f>2*60</f>
        <v>120</v>
      </c>
      <c r="I38" s="9">
        <f>8*60</f>
        <v>480</v>
      </c>
    </row>
    <row r="39" spans="1:9" s="4" customFormat="1">
      <c r="A39" s="11"/>
      <c r="B39" s="26" t="s">
        <v>277</v>
      </c>
      <c r="C39" s="20">
        <f>SUM(D39)</f>
        <v>570</v>
      </c>
      <c r="D39" s="28">
        <f xml:space="preserve"> E39</f>
        <v>570</v>
      </c>
      <c r="E39" s="14">
        <f>AVERAGE(H39:I39)</f>
        <v>570</v>
      </c>
      <c r="F39" s="9" t="s">
        <v>56</v>
      </c>
      <c r="G39" s="16" t="s">
        <v>168</v>
      </c>
      <c r="H39" s="11">
        <v>180</v>
      </c>
      <c r="I39" s="9">
        <f>60*16</f>
        <v>960</v>
      </c>
    </row>
    <row r="40" spans="1:9" s="3" customFormat="1">
      <c r="B40" s="22" t="s">
        <v>51</v>
      </c>
      <c r="C40" s="20">
        <f>SUM(D41:D43)</f>
        <v>1200</v>
      </c>
      <c r="D40" s="4"/>
      <c r="E40" s="23"/>
      <c r="F40" s="23"/>
      <c r="H40" s="15"/>
      <c r="I40" s="15"/>
    </row>
    <row r="41" spans="1:9" s="4" customFormat="1">
      <c r="A41" s="11"/>
      <c r="B41" s="19" t="s">
        <v>147</v>
      </c>
      <c r="C41" s="22"/>
      <c r="D41" s="28">
        <f xml:space="preserve"> E41</f>
        <v>360</v>
      </c>
      <c r="E41" s="14">
        <v>360</v>
      </c>
      <c r="F41" s="9" t="s">
        <v>56</v>
      </c>
      <c r="G41" s="40" t="s">
        <v>154</v>
      </c>
      <c r="H41" s="11">
        <v>240</v>
      </c>
      <c r="I41" s="9">
        <v>480</v>
      </c>
    </row>
    <row r="42" spans="1:9" s="4" customFormat="1">
      <c r="A42" s="11"/>
      <c r="B42" s="19" t="s">
        <v>146</v>
      </c>
      <c r="C42" s="22"/>
      <c r="D42" s="28">
        <f xml:space="preserve"> E42</f>
        <v>240</v>
      </c>
      <c r="E42" s="14">
        <v>240</v>
      </c>
      <c r="F42" s="9" t="s">
        <v>56</v>
      </c>
      <c r="G42" s="40" t="s">
        <v>155</v>
      </c>
      <c r="H42" s="11">
        <v>90</v>
      </c>
      <c r="I42" s="9">
        <v>360</v>
      </c>
    </row>
    <row r="43" spans="1:9" s="4" customFormat="1">
      <c r="A43" s="11"/>
      <c r="B43" s="19" t="s">
        <v>149</v>
      </c>
      <c r="C43" s="22"/>
      <c r="D43" s="28">
        <f xml:space="preserve"> E43</f>
        <v>600</v>
      </c>
      <c r="E43" s="14">
        <v>600</v>
      </c>
      <c r="F43" s="9" t="s">
        <v>56</v>
      </c>
      <c r="G43" s="40" t="s">
        <v>156</v>
      </c>
      <c r="H43" s="11">
        <v>120</v>
      </c>
      <c r="I43" s="9">
        <f>20*60</f>
        <v>1200</v>
      </c>
    </row>
    <row r="44" spans="1:9" s="4" customFormat="1">
      <c r="A44" s="11"/>
      <c r="B44" s="22" t="s">
        <v>150</v>
      </c>
      <c r="C44" s="20">
        <f>SUM(D45:D46)</f>
        <v>960</v>
      </c>
      <c r="D44" s="28"/>
      <c r="E44" s="24"/>
      <c r="F44" s="9"/>
      <c r="H44" s="11"/>
      <c r="I44" s="9"/>
    </row>
    <row r="45" spans="1:9" s="4" customFormat="1">
      <c r="A45" s="11"/>
      <c r="B45" s="19" t="s">
        <v>151</v>
      </c>
      <c r="C45" s="22"/>
      <c r="D45" s="28">
        <f xml:space="preserve"> E45</f>
        <v>480</v>
      </c>
      <c r="E45" s="14">
        <v>480</v>
      </c>
      <c r="F45" s="9" t="s">
        <v>56</v>
      </c>
      <c r="G45" s="40" t="s">
        <v>281</v>
      </c>
      <c r="H45" s="11">
        <v>240</v>
      </c>
      <c r="I45" s="9">
        <v>1000</v>
      </c>
    </row>
    <row r="46" spans="1:9" s="4" customFormat="1">
      <c r="A46" s="11"/>
      <c r="B46" s="19" t="s">
        <v>152</v>
      </c>
      <c r="C46" s="22"/>
      <c r="D46" s="28">
        <f xml:space="preserve"> E46</f>
        <v>480</v>
      </c>
      <c r="E46" s="14">
        <v>480</v>
      </c>
      <c r="F46" s="9" t="s">
        <v>56</v>
      </c>
      <c r="G46" s="16" t="s">
        <v>169</v>
      </c>
      <c r="H46" s="11">
        <v>120</v>
      </c>
      <c r="I46" s="9">
        <v>1200</v>
      </c>
    </row>
    <row r="47" spans="1:9" s="4" customFormat="1">
      <c r="A47" s="11"/>
      <c r="B47" s="3" t="s">
        <v>124</v>
      </c>
      <c r="C47" s="20">
        <f>SUM(D48:D48)</f>
        <v>2</v>
      </c>
      <c r="D47" s="18"/>
      <c r="E47" s="9"/>
      <c r="F47" s="9"/>
      <c r="H47" s="11"/>
      <c r="I47" s="9"/>
    </row>
    <row r="48" spans="1:9" s="4" customFormat="1">
      <c r="A48" s="11"/>
      <c r="B48" s="19" t="s">
        <v>53</v>
      </c>
      <c r="C48" s="22"/>
      <c r="D48" s="10">
        <f>E48</f>
        <v>2</v>
      </c>
      <c r="E48" s="14">
        <v>2</v>
      </c>
      <c r="F48" s="9" t="s">
        <v>56</v>
      </c>
      <c r="G48" s="16" t="s">
        <v>170</v>
      </c>
      <c r="H48" s="11">
        <v>0.5</v>
      </c>
      <c r="I48" s="9">
        <v>5</v>
      </c>
    </row>
    <row r="49" spans="1:9" s="4" customFormat="1">
      <c r="A49" s="11"/>
      <c r="B49" s="3" t="s">
        <v>123</v>
      </c>
      <c r="C49" s="20">
        <f>SUM(D50)</f>
        <v>240</v>
      </c>
      <c r="D49" s="10"/>
      <c r="E49" s="24"/>
      <c r="F49" s="9"/>
      <c r="G49" s="16"/>
      <c r="H49" s="11"/>
      <c r="I49" s="9"/>
    </row>
    <row r="50" spans="1:9" s="4" customFormat="1">
      <c r="A50" s="11"/>
      <c r="B50" s="19" t="s">
        <v>153</v>
      </c>
      <c r="C50" s="22"/>
      <c r="D50" s="10">
        <f xml:space="preserve"> E50</f>
        <v>240</v>
      </c>
      <c r="E50" s="14">
        <v>240</v>
      </c>
      <c r="F50" s="9" t="s">
        <v>56</v>
      </c>
      <c r="G50" s="16" t="s">
        <v>243</v>
      </c>
      <c r="H50" s="11">
        <v>30</v>
      </c>
      <c r="I50" s="9">
        <v>480</v>
      </c>
    </row>
    <row r="51" spans="1:9" s="4" customFormat="1">
      <c r="A51" s="3"/>
      <c r="B51" s="3" t="s">
        <v>122</v>
      </c>
      <c r="C51" s="20">
        <f>SUM(D52:D53)</f>
        <v>1</v>
      </c>
      <c r="D51" s="18"/>
      <c r="E51" s="9"/>
      <c r="F51" s="9"/>
      <c r="H51" s="11"/>
      <c r="I51" s="9"/>
    </row>
    <row r="52" spans="1:9" s="4" customFormat="1">
      <c r="A52" s="11"/>
      <c r="B52" s="19" t="s">
        <v>139</v>
      </c>
      <c r="C52" s="22"/>
      <c r="D52" s="13">
        <f xml:space="preserve"> E52</f>
        <v>0.5</v>
      </c>
      <c r="E52" s="46">
        <v>0.5</v>
      </c>
      <c r="F52" s="9" t="s">
        <v>56</v>
      </c>
      <c r="G52" s="16" t="s">
        <v>171</v>
      </c>
      <c r="H52" s="11">
        <v>0.25</v>
      </c>
      <c r="I52" s="9">
        <v>3</v>
      </c>
    </row>
    <row r="53" spans="1:9" s="4" customFormat="1">
      <c r="A53" s="11"/>
      <c r="B53" s="19" t="s">
        <v>140</v>
      </c>
      <c r="C53" s="22"/>
      <c r="D53" s="13">
        <f xml:space="preserve"> E53</f>
        <v>0.5</v>
      </c>
      <c r="E53" s="46">
        <v>0.5</v>
      </c>
      <c r="F53" s="9" t="s">
        <v>56</v>
      </c>
      <c r="G53" s="40" t="s">
        <v>282</v>
      </c>
      <c r="H53" s="11">
        <v>0.5</v>
      </c>
      <c r="I53" s="9">
        <v>3</v>
      </c>
    </row>
    <row r="54" spans="1:9">
      <c r="C54" s="58"/>
      <c r="E54" s="8"/>
    </row>
    <row r="55" spans="1:9" ht="15" customHeight="1">
      <c r="A55" s="22" t="s">
        <v>67</v>
      </c>
      <c r="C55" s="58"/>
      <c r="E55" s="8"/>
      <c r="H55" s="8"/>
      <c r="I55" s="8"/>
    </row>
    <row r="56" spans="1:9" ht="15" customHeight="1">
      <c r="A56" s="3"/>
      <c r="B56" s="126" t="s">
        <v>173</v>
      </c>
      <c r="C56" s="88">
        <f>SUM(D57:D65)</f>
        <v>474</v>
      </c>
      <c r="E56" s="8"/>
    </row>
    <row r="57" spans="1:9" ht="15" customHeight="1">
      <c r="A57" s="3"/>
      <c r="B57" s="37" t="s">
        <v>183</v>
      </c>
      <c r="C57" s="22"/>
      <c r="D57" s="10">
        <f t="shared" ref="D57:D64" si="0">E57*F57</f>
        <v>50</v>
      </c>
      <c r="E57" s="14">
        <v>1</v>
      </c>
      <c r="F57" s="60">
        <f>H$16</f>
        <v>50</v>
      </c>
      <c r="G57" s="16" t="s">
        <v>175</v>
      </c>
      <c r="H57" s="63">
        <v>0</v>
      </c>
      <c r="I57" s="63">
        <v>5</v>
      </c>
    </row>
    <row r="58" spans="1:9" s="4" customFormat="1" ht="15" customHeight="1">
      <c r="A58" s="11"/>
      <c r="B58" s="19" t="s">
        <v>184</v>
      </c>
      <c r="C58" s="22"/>
      <c r="D58" s="10">
        <f t="shared" si="0"/>
        <v>100</v>
      </c>
      <c r="E58" s="14">
        <v>2</v>
      </c>
      <c r="F58" s="60">
        <f>H$16</f>
        <v>50</v>
      </c>
      <c r="H58" s="11">
        <v>1</v>
      </c>
      <c r="I58" s="9">
        <v>5</v>
      </c>
    </row>
    <row r="59" spans="1:9" s="4" customFormat="1" ht="15" customHeight="1">
      <c r="A59" s="11"/>
      <c r="B59" s="19" t="s">
        <v>185</v>
      </c>
      <c r="C59" s="22"/>
      <c r="D59" s="10">
        <f t="shared" si="0"/>
        <v>50</v>
      </c>
      <c r="E59" s="14">
        <v>1</v>
      </c>
      <c r="F59" s="60">
        <f>H$16</f>
        <v>50</v>
      </c>
      <c r="H59" s="11">
        <v>1</v>
      </c>
      <c r="I59" s="9">
        <v>3</v>
      </c>
    </row>
    <row r="60" spans="1:9" s="4" customFormat="1" ht="15" customHeight="1">
      <c r="A60" s="11"/>
      <c r="B60" s="19" t="s">
        <v>186</v>
      </c>
      <c r="C60" s="22"/>
      <c r="D60" s="10">
        <f t="shared" si="0"/>
        <v>100</v>
      </c>
      <c r="E60" s="14">
        <v>2</v>
      </c>
      <c r="F60" s="60">
        <f>H$16</f>
        <v>50</v>
      </c>
      <c r="H60" s="11">
        <v>1</v>
      </c>
      <c r="I60" s="9">
        <v>3</v>
      </c>
    </row>
    <row r="61" spans="1:9" s="4" customFormat="1" ht="15" customHeight="1">
      <c r="A61" s="11"/>
      <c r="B61" s="19" t="s">
        <v>278</v>
      </c>
      <c r="C61" s="22"/>
      <c r="D61" s="10">
        <f t="shared" si="0"/>
        <v>150</v>
      </c>
      <c r="E61" s="14">
        <v>3</v>
      </c>
      <c r="F61" s="60">
        <f>H$16</f>
        <v>50</v>
      </c>
      <c r="H61" s="11">
        <v>1</v>
      </c>
      <c r="I61" s="9">
        <v>5</v>
      </c>
    </row>
    <row r="62" spans="1:9" s="4" customFormat="1" ht="15" customHeight="1">
      <c r="A62" s="11"/>
      <c r="B62" s="19" t="s">
        <v>187</v>
      </c>
      <c r="C62" s="22"/>
      <c r="D62" s="10">
        <f t="shared" si="0"/>
        <v>12</v>
      </c>
      <c r="E62" s="14">
        <v>6</v>
      </c>
      <c r="F62" s="109">
        <f ca="1">ROUND( H$15 * Podsumowanie!A$9, 0  )</f>
        <v>2</v>
      </c>
      <c r="H62" s="11">
        <v>3</v>
      </c>
      <c r="I62" s="9">
        <v>9</v>
      </c>
    </row>
    <row r="63" spans="1:9" s="4" customFormat="1" ht="15" customHeight="1">
      <c r="A63" s="11"/>
      <c r="B63" s="19" t="s">
        <v>188</v>
      </c>
      <c r="C63" s="22"/>
      <c r="D63" s="10">
        <f t="shared" si="0"/>
        <v>6</v>
      </c>
      <c r="E63" s="14">
        <v>3</v>
      </c>
      <c r="F63" s="109">
        <f ca="1">ROUND( H$15 * Podsumowanie!A$9, 0  )</f>
        <v>2</v>
      </c>
      <c r="H63" s="11">
        <v>1</v>
      </c>
      <c r="I63" s="9">
        <v>5</v>
      </c>
    </row>
    <row r="64" spans="1:9" s="4" customFormat="1" ht="15" customHeight="1">
      <c r="A64" s="11"/>
      <c r="B64" s="19" t="s">
        <v>189</v>
      </c>
      <c r="C64" s="22"/>
      <c r="D64" s="10">
        <f t="shared" si="0"/>
        <v>6</v>
      </c>
      <c r="E64" s="14">
        <v>3</v>
      </c>
      <c r="F64" s="109">
        <f ca="1">ROUND( H$15 * Podsumowanie!A$9, 0  )</f>
        <v>2</v>
      </c>
      <c r="H64" s="11">
        <v>1</v>
      </c>
      <c r="I64" s="9">
        <v>5</v>
      </c>
    </row>
    <row r="65" spans="1:9" s="4" customFormat="1">
      <c r="A65" s="11"/>
      <c r="B65" s="127" t="s">
        <v>57</v>
      </c>
      <c r="C65" s="20">
        <f>SUM(D66:D71)</f>
        <v>656</v>
      </c>
      <c r="D65" s="10"/>
      <c r="E65" s="24"/>
      <c r="F65" s="24"/>
      <c r="G65" s="16"/>
      <c r="H65" s="11"/>
      <c r="I65" s="9"/>
    </row>
    <row r="66" spans="1:9" s="4" customFormat="1">
      <c r="A66" s="11"/>
      <c r="B66" s="19" t="s">
        <v>194</v>
      </c>
      <c r="C66" s="20"/>
      <c r="D66" s="10">
        <f>E66</f>
        <v>120</v>
      </c>
      <c r="E66" s="14">
        <v>120</v>
      </c>
      <c r="F66" s="9" t="s">
        <v>56</v>
      </c>
      <c r="G66" s="16" t="s">
        <v>182</v>
      </c>
      <c r="H66" s="11">
        <v>60</v>
      </c>
      <c r="I66" s="9">
        <v>180</v>
      </c>
    </row>
    <row r="67" spans="1:9" s="4" customFormat="1">
      <c r="A67" s="11"/>
      <c r="B67" s="19" t="s">
        <v>195</v>
      </c>
      <c r="C67" s="22"/>
      <c r="D67" s="10">
        <f>E67*F67</f>
        <v>60</v>
      </c>
      <c r="E67" s="14">
        <v>3</v>
      </c>
      <c r="F67" s="60">
        <f>H6</f>
        <v>20</v>
      </c>
      <c r="G67" s="16" t="s">
        <v>181</v>
      </c>
      <c r="H67" s="11">
        <v>1</v>
      </c>
      <c r="I67" s="9">
        <v>6</v>
      </c>
    </row>
    <row r="68" spans="1:9" s="4" customFormat="1">
      <c r="A68" s="11"/>
      <c r="B68" s="19" t="s">
        <v>196</v>
      </c>
      <c r="C68" s="22"/>
      <c r="D68" s="10">
        <f>E68*F68</f>
        <v>60</v>
      </c>
      <c r="E68" s="14">
        <v>3</v>
      </c>
      <c r="F68" s="60">
        <f>H6</f>
        <v>20</v>
      </c>
      <c r="H68" s="11">
        <v>1</v>
      </c>
      <c r="I68" s="9">
        <v>6</v>
      </c>
    </row>
    <row r="69" spans="1:9" s="4" customFormat="1">
      <c r="A69" s="11"/>
      <c r="B69" s="19" t="s">
        <v>197</v>
      </c>
      <c r="C69" s="22"/>
      <c r="D69" s="10">
        <f>E69*F69</f>
        <v>80</v>
      </c>
      <c r="E69" s="14">
        <v>4</v>
      </c>
      <c r="F69" s="60">
        <f>H6</f>
        <v>20</v>
      </c>
      <c r="H69" s="11">
        <v>1</v>
      </c>
      <c r="I69" s="65">
        <v>10</v>
      </c>
    </row>
    <row r="70" spans="1:9" s="4" customFormat="1">
      <c r="A70" s="11"/>
      <c r="B70" s="19" t="s">
        <v>233</v>
      </c>
      <c r="C70" s="22"/>
      <c r="D70" s="10">
        <f>E70*F70</f>
        <v>112</v>
      </c>
      <c r="E70" s="14">
        <v>2</v>
      </c>
      <c r="F70" s="105">
        <f>H22+H23</f>
        <v>56</v>
      </c>
      <c r="G70" s="16" t="s">
        <v>283</v>
      </c>
      <c r="H70" s="11">
        <v>1</v>
      </c>
      <c r="I70" s="9">
        <v>6</v>
      </c>
    </row>
    <row r="71" spans="1:9" s="4" customFormat="1">
      <c r="A71" s="11"/>
      <c r="B71" s="19" t="s">
        <v>234</v>
      </c>
      <c r="C71" s="22"/>
      <c r="D71" s="10">
        <f>E71*F71</f>
        <v>224</v>
      </c>
      <c r="E71" s="14">
        <v>4</v>
      </c>
      <c r="F71" s="105">
        <f>H22+H23</f>
        <v>56</v>
      </c>
      <c r="H71" s="11">
        <v>1</v>
      </c>
      <c r="I71" s="65">
        <v>10</v>
      </c>
    </row>
    <row r="72" spans="1:9" s="4" customFormat="1">
      <c r="A72" s="11"/>
      <c r="B72" s="22" t="s">
        <v>68</v>
      </c>
      <c r="C72" s="88">
        <f>SUM(D73:D78)</f>
        <v>216</v>
      </c>
      <c r="D72" s="10"/>
      <c r="E72" s="24"/>
      <c r="F72" s="24"/>
      <c r="G72" s="16"/>
      <c r="H72" s="11"/>
      <c r="I72" s="9"/>
    </row>
    <row r="73" spans="1:9" s="4" customFormat="1">
      <c r="A73" s="11"/>
      <c r="B73" s="37" t="s">
        <v>198</v>
      </c>
      <c r="C73" s="88"/>
      <c r="D73" s="10">
        <f>E73</f>
        <v>60</v>
      </c>
      <c r="E73" s="14">
        <v>60</v>
      </c>
      <c r="F73" s="9" t="s">
        <v>56</v>
      </c>
      <c r="G73" s="16" t="s">
        <v>190</v>
      </c>
      <c r="H73" s="11">
        <v>30</v>
      </c>
      <c r="I73" s="9">
        <v>120</v>
      </c>
    </row>
    <row r="74" spans="1:9" s="4" customFormat="1">
      <c r="A74" s="11"/>
      <c r="B74" s="19" t="s">
        <v>199</v>
      </c>
      <c r="C74" s="22"/>
      <c r="D74" s="10">
        <f>E74</f>
        <v>20</v>
      </c>
      <c r="E74" s="14">
        <v>20</v>
      </c>
      <c r="F74" s="9" t="s">
        <v>56</v>
      </c>
      <c r="H74" s="11">
        <v>10</v>
      </c>
      <c r="I74" s="9">
        <v>45</v>
      </c>
    </row>
    <row r="75" spans="1:9" s="4" customFormat="1">
      <c r="A75" s="11"/>
      <c r="B75" s="19" t="s">
        <v>200</v>
      </c>
      <c r="C75" s="22"/>
      <c r="D75" s="10">
        <f>E75</f>
        <v>10</v>
      </c>
      <c r="E75" s="14">
        <v>10</v>
      </c>
      <c r="F75" s="9" t="s">
        <v>56</v>
      </c>
      <c r="G75" s="16"/>
      <c r="H75" s="11">
        <v>5</v>
      </c>
      <c r="I75" s="9">
        <v>30</v>
      </c>
    </row>
    <row r="76" spans="1:9" s="4" customFormat="1">
      <c r="A76" s="11"/>
      <c r="B76" s="19" t="s">
        <v>201</v>
      </c>
      <c r="C76" s="22"/>
      <c r="D76" s="10">
        <f>E76</f>
        <v>30</v>
      </c>
      <c r="E76" s="14">
        <v>30</v>
      </c>
      <c r="F76" s="9" t="s">
        <v>56</v>
      </c>
      <c r="G76" s="16"/>
      <c r="H76" s="11">
        <v>10</v>
      </c>
      <c r="I76" s="9">
        <v>60</v>
      </c>
    </row>
    <row r="77" spans="1:9" s="4" customFormat="1">
      <c r="A77" s="11"/>
      <c r="B77" s="19" t="s">
        <v>233</v>
      </c>
      <c r="C77" s="22"/>
      <c r="D77" s="10">
        <f>E77*F77</f>
        <v>32</v>
      </c>
      <c r="E77" s="14">
        <v>2</v>
      </c>
      <c r="F77" s="105">
        <f>H24+H24*H21</f>
        <v>16</v>
      </c>
      <c r="G77" s="16" t="s">
        <v>191</v>
      </c>
      <c r="H77" s="11">
        <v>1</v>
      </c>
      <c r="I77" s="9">
        <v>6</v>
      </c>
    </row>
    <row r="78" spans="1:9" s="4" customFormat="1">
      <c r="A78" s="11"/>
      <c r="B78" s="19" t="s">
        <v>234</v>
      </c>
      <c r="C78" s="22"/>
      <c r="D78" s="10">
        <f>E78*F78</f>
        <v>64</v>
      </c>
      <c r="E78" s="14">
        <v>4</v>
      </c>
      <c r="F78" s="105">
        <f>F77</f>
        <v>16</v>
      </c>
      <c r="H78" s="11">
        <v>1</v>
      </c>
      <c r="I78" s="65">
        <v>10</v>
      </c>
    </row>
    <row r="79" spans="1:9" s="4" customFormat="1">
      <c r="A79" s="11"/>
      <c r="B79" s="22" t="s">
        <v>69</v>
      </c>
      <c r="C79" s="88">
        <f>SUM(D80:D84)</f>
        <v>230</v>
      </c>
      <c r="D79" s="10"/>
      <c r="E79" s="24"/>
      <c r="F79" s="24"/>
      <c r="H79" s="11"/>
      <c r="I79" s="9"/>
    </row>
    <row r="80" spans="1:9" s="4" customFormat="1">
      <c r="A80" s="11"/>
      <c r="B80" s="19" t="s">
        <v>202</v>
      </c>
      <c r="C80" s="22"/>
      <c r="D80" s="10">
        <f>E80*F80</f>
        <v>10</v>
      </c>
      <c r="E80" s="14">
        <v>1</v>
      </c>
      <c r="F80" s="60">
        <f>H$9</f>
        <v>10</v>
      </c>
      <c r="G80" s="16" t="s">
        <v>104</v>
      </c>
      <c r="H80" s="11">
        <v>1</v>
      </c>
      <c r="I80" s="9">
        <v>10</v>
      </c>
    </row>
    <row r="81" spans="1:9" s="4" customFormat="1">
      <c r="A81" s="11"/>
      <c r="B81" s="19" t="s">
        <v>203</v>
      </c>
      <c r="C81" s="22"/>
      <c r="D81" s="10">
        <f>E81*F81</f>
        <v>10</v>
      </c>
      <c r="E81" s="14">
        <v>1</v>
      </c>
      <c r="F81" s="60">
        <f>H$9</f>
        <v>10</v>
      </c>
      <c r="H81" s="11">
        <v>1</v>
      </c>
      <c r="I81" s="9">
        <v>5</v>
      </c>
    </row>
    <row r="82" spans="1:9" s="4" customFormat="1">
      <c r="A82" s="11"/>
      <c r="B82" s="19" t="s">
        <v>204</v>
      </c>
      <c r="C82" s="22"/>
      <c r="D82" s="10">
        <f>E82*F82</f>
        <v>30</v>
      </c>
      <c r="E82" s="14">
        <v>3</v>
      </c>
      <c r="F82" s="60">
        <f>H$9</f>
        <v>10</v>
      </c>
      <c r="G82" s="16"/>
      <c r="H82" s="11">
        <v>1</v>
      </c>
      <c r="I82" s="9">
        <v>10</v>
      </c>
    </row>
    <row r="83" spans="1:9" s="4" customFormat="1">
      <c r="A83" s="11"/>
      <c r="B83" s="19" t="s">
        <v>233</v>
      </c>
      <c r="C83" s="22"/>
      <c r="D83" s="10">
        <f>E83*F83</f>
        <v>60</v>
      </c>
      <c r="E83" s="14">
        <v>2</v>
      </c>
      <c r="F83" s="105">
        <f>H$9*H$21</f>
        <v>30</v>
      </c>
      <c r="G83" s="16" t="s">
        <v>192</v>
      </c>
      <c r="H83" s="11">
        <v>1</v>
      </c>
      <c r="I83" s="9">
        <v>6</v>
      </c>
    </row>
    <row r="84" spans="1:9" s="4" customFormat="1">
      <c r="A84" s="11"/>
      <c r="B84" s="19" t="s">
        <v>234</v>
      </c>
      <c r="C84" s="22"/>
      <c r="D84" s="10">
        <f>E84*F84</f>
        <v>120</v>
      </c>
      <c r="E84" s="14">
        <v>4</v>
      </c>
      <c r="F84" s="105">
        <f>H$9*H$21</f>
        <v>30</v>
      </c>
      <c r="H84" s="11">
        <v>1</v>
      </c>
      <c r="I84" s="65">
        <v>10</v>
      </c>
    </row>
    <row r="85" spans="1:9" s="4" customFormat="1">
      <c r="C85" s="22"/>
      <c r="D85" s="18"/>
      <c r="E85" s="9"/>
      <c r="F85" s="11"/>
      <c r="H85" s="11"/>
      <c r="I85" s="9"/>
    </row>
    <row r="86" spans="1:9" s="4" customFormat="1">
      <c r="A86" s="22" t="s">
        <v>66</v>
      </c>
      <c r="C86" s="22"/>
      <c r="D86" s="18"/>
      <c r="E86" s="9"/>
      <c r="F86" s="11"/>
      <c r="H86" s="11"/>
      <c r="I86" s="9"/>
    </row>
    <row r="87" spans="1:9" s="4" customFormat="1">
      <c r="A87" s="3"/>
      <c r="B87" s="127" t="s">
        <v>174</v>
      </c>
      <c r="C87" s="20">
        <f>SUM(D88:D91)</f>
        <v>750</v>
      </c>
      <c r="D87" s="18"/>
      <c r="E87" s="9"/>
      <c r="F87" s="11"/>
      <c r="H87" s="11"/>
      <c r="I87" s="9"/>
    </row>
    <row r="88" spans="1:9" s="4" customFormat="1">
      <c r="A88" s="3"/>
      <c r="B88" s="19" t="s">
        <v>208</v>
      </c>
      <c r="C88" s="20"/>
      <c r="D88" s="10">
        <f>E88*F88</f>
        <v>150</v>
      </c>
      <c r="E88" s="14">
        <v>3</v>
      </c>
      <c r="F88" s="60">
        <f>H$17</f>
        <v>50</v>
      </c>
      <c r="H88" s="11">
        <v>0</v>
      </c>
      <c r="I88" s="9">
        <v>6</v>
      </c>
    </row>
    <row r="89" spans="1:9" s="4" customFormat="1">
      <c r="A89" s="11"/>
      <c r="B89" s="19" t="s">
        <v>209</v>
      </c>
      <c r="C89" s="22"/>
      <c r="D89" s="10">
        <f>E89*F89</f>
        <v>150</v>
      </c>
      <c r="E89" s="14">
        <v>3</v>
      </c>
      <c r="F89" s="60">
        <f>H$17</f>
        <v>50</v>
      </c>
      <c r="G89" s="16" t="s">
        <v>193</v>
      </c>
      <c r="H89" s="11">
        <v>1</v>
      </c>
      <c r="I89" s="9">
        <v>10</v>
      </c>
    </row>
    <row r="90" spans="1:9" s="4" customFormat="1">
      <c r="A90" s="11"/>
      <c r="B90" s="19" t="s">
        <v>210</v>
      </c>
      <c r="C90" s="22"/>
      <c r="D90" s="10">
        <f>E90*F90</f>
        <v>150</v>
      </c>
      <c r="E90" s="14">
        <v>3</v>
      </c>
      <c r="F90" s="60">
        <f>H$17</f>
        <v>50</v>
      </c>
      <c r="H90" s="11">
        <v>1</v>
      </c>
      <c r="I90" s="9">
        <v>6</v>
      </c>
    </row>
    <row r="91" spans="1:9" s="4" customFormat="1">
      <c r="A91" s="11"/>
      <c r="B91" s="19" t="s">
        <v>216</v>
      </c>
      <c r="C91" s="22"/>
      <c r="D91" s="10">
        <f>E91*F91</f>
        <v>300</v>
      </c>
      <c r="E91" s="14">
        <v>6</v>
      </c>
      <c r="F91" s="60">
        <f>H$17</f>
        <v>50</v>
      </c>
      <c r="H91" s="11">
        <v>1</v>
      </c>
      <c r="I91" s="9">
        <v>10</v>
      </c>
    </row>
    <row r="92" spans="1:9" s="4" customFormat="1">
      <c r="A92" s="11"/>
      <c r="B92" s="36" t="s">
        <v>176</v>
      </c>
      <c r="C92" s="22"/>
      <c r="D92" s="10">
        <f xml:space="preserve"> E92</f>
        <v>300</v>
      </c>
      <c r="E92" s="14">
        <f>5*60</f>
        <v>300</v>
      </c>
      <c r="F92" s="9" t="s">
        <v>56</v>
      </c>
      <c r="G92" s="16" t="s">
        <v>205</v>
      </c>
      <c r="H92" s="11">
        <v>40</v>
      </c>
      <c r="I92" s="9">
        <v>400</v>
      </c>
    </row>
    <row r="93" spans="1:9" s="4" customFormat="1">
      <c r="A93" s="11"/>
      <c r="B93" s="36" t="s">
        <v>177</v>
      </c>
      <c r="C93" s="22"/>
      <c r="D93" s="10">
        <f xml:space="preserve"> E93</f>
        <v>1000</v>
      </c>
      <c r="E93" s="14">
        <f>1000</f>
        <v>1000</v>
      </c>
      <c r="F93" s="9" t="s">
        <v>56</v>
      </c>
      <c r="G93" s="16"/>
      <c r="H93" s="11">
        <v>400</v>
      </c>
      <c r="I93" s="9">
        <v>2000</v>
      </c>
    </row>
    <row r="94" spans="1:9" s="4" customFormat="1">
      <c r="A94" s="11"/>
      <c r="B94" s="36" t="s">
        <v>178</v>
      </c>
      <c r="C94" s="22"/>
      <c r="D94" s="10">
        <f xml:space="preserve"> E94</f>
        <v>2400</v>
      </c>
      <c r="E94" s="14">
        <f>40*60</f>
        <v>2400</v>
      </c>
      <c r="F94" s="9" t="s">
        <v>56</v>
      </c>
      <c r="G94" s="16" t="s">
        <v>207</v>
      </c>
      <c r="H94" s="11">
        <v>2000</v>
      </c>
      <c r="I94" s="9">
        <v>4000</v>
      </c>
    </row>
    <row r="95" spans="1:9" s="4" customFormat="1">
      <c r="A95" s="11"/>
      <c r="B95" s="3" t="s">
        <v>179</v>
      </c>
      <c r="C95" s="20">
        <f>SUM(D96:D101)</f>
        <v>300</v>
      </c>
      <c r="D95" s="10"/>
      <c r="E95" s="24"/>
      <c r="F95" s="24"/>
      <c r="H95" s="11"/>
      <c r="I95" s="9"/>
    </row>
    <row r="96" spans="1:9" s="4" customFormat="1">
      <c r="A96" s="11"/>
      <c r="B96" s="19" t="s">
        <v>180</v>
      </c>
      <c r="C96" s="22"/>
      <c r="D96" s="10">
        <f t="shared" ref="D96:D101" si="1">E96*F96</f>
        <v>60</v>
      </c>
      <c r="E96" s="14">
        <v>4</v>
      </c>
      <c r="F96" s="60">
        <f t="shared" ref="F96:F101" si="2">H$18</f>
        <v>15</v>
      </c>
      <c r="G96" s="16" t="s">
        <v>206</v>
      </c>
      <c r="H96" s="11">
        <v>0</v>
      </c>
      <c r="I96" s="9">
        <v>10</v>
      </c>
    </row>
    <row r="97" spans="1:9" s="4" customFormat="1">
      <c r="A97" s="11"/>
      <c r="B97" s="19" t="s">
        <v>218</v>
      </c>
      <c r="C97" s="22"/>
      <c r="D97" s="10">
        <f t="shared" si="1"/>
        <v>30</v>
      </c>
      <c r="E97" s="14">
        <v>2</v>
      </c>
      <c r="F97" s="60">
        <f t="shared" si="2"/>
        <v>15</v>
      </c>
      <c r="H97" s="11">
        <v>1</v>
      </c>
      <c r="I97" s="9">
        <v>10</v>
      </c>
    </row>
    <row r="98" spans="1:9" s="4" customFormat="1">
      <c r="A98" s="11"/>
      <c r="B98" s="19" t="s">
        <v>219</v>
      </c>
      <c r="C98" s="22"/>
      <c r="D98" s="10">
        <f t="shared" si="1"/>
        <v>60</v>
      </c>
      <c r="E98" s="14">
        <v>4</v>
      </c>
      <c r="F98" s="60">
        <f t="shared" si="2"/>
        <v>15</v>
      </c>
      <c r="H98" s="11">
        <v>1</v>
      </c>
      <c r="I98" s="9">
        <v>20</v>
      </c>
    </row>
    <row r="99" spans="1:9" s="4" customFormat="1">
      <c r="A99" s="11"/>
      <c r="B99" s="19" t="s">
        <v>223</v>
      </c>
      <c r="C99" s="22"/>
      <c r="D99" s="10">
        <f t="shared" si="1"/>
        <v>60</v>
      </c>
      <c r="E99" s="14">
        <v>4</v>
      </c>
      <c r="F99" s="60">
        <f t="shared" si="2"/>
        <v>15</v>
      </c>
      <c r="G99" s="16" t="s">
        <v>206</v>
      </c>
      <c r="H99" s="11">
        <v>2</v>
      </c>
      <c r="I99" s="9">
        <v>10</v>
      </c>
    </row>
    <row r="100" spans="1:9" s="4" customFormat="1">
      <c r="A100" s="11"/>
      <c r="B100" s="19" t="s">
        <v>224</v>
      </c>
      <c r="C100" s="22"/>
      <c r="D100" s="10">
        <f t="shared" si="1"/>
        <v>30</v>
      </c>
      <c r="E100" s="14">
        <v>2</v>
      </c>
      <c r="F100" s="60">
        <f t="shared" si="2"/>
        <v>15</v>
      </c>
      <c r="H100" s="11">
        <v>1</v>
      </c>
      <c r="I100" s="9">
        <v>5</v>
      </c>
    </row>
    <row r="101" spans="1:9" s="4" customFormat="1">
      <c r="A101" s="11"/>
      <c r="B101" s="19" t="s">
        <v>225</v>
      </c>
      <c r="C101" s="22"/>
      <c r="D101" s="10">
        <f t="shared" si="1"/>
        <v>60</v>
      </c>
      <c r="E101" s="14">
        <v>4</v>
      </c>
      <c r="F101" s="60">
        <f t="shared" si="2"/>
        <v>15</v>
      </c>
      <c r="H101" s="11">
        <v>2</v>
      </c>
      <c r="I101" s="9">
        <v>10</v>
      </c>
    </row>
    <row r="102" spans="1:9" s="4" customFormat="1">
      <c r="A102" s="11"/>
      <c r="C102" s="22"/>
      <c r="D102" s="20"/>
      <c r="E102" s="12"/>
      <c r="I102" s="12"/>
    </row>
    <row r="103" spans="1:9" s="4" customFormat="1">
      <c r="A103" s="22" t="s">
        <v>65</v>
      </c>
      <c r="C103" s="22"/>
      <c r="D103" s="21"/>
      <c r="E103" s="12"/>
      <c r="I103" s="12"/>
    </row>
    <row r="104" spans="1:9" s="4" customFormat="1">
      <c r="A104" s="3"/>
      <c r="B104" s="36" t="s">
        <v>27</v>
      </c>
      <c r="C104" s="20">
        <f>SUM(D105:D108)</f>
        <v>210</v>
      </c>
      <c r="D104" s="21"/>
      <c r="E104" s="12"/>
      <c r="I104" s="12"/>
    </row>
    <row r="105" spans="1:9" s="4" customFormat="1">
      <c r="A105" s="3"/>
      <c r="B105" s="19" t="s">
        <v>213</v>
      </c>
      <c r="C105" s="20"/>
      <c r="D105" s="10">
        <f xml:space="preserve"> E105</f>
        <v>60</v>
      </c>
      <c r="E105" s="14">
        <v>60</v>
      </c>
      <c r="F105" s="9" t="s">
        <v>56</v>
      </c>
      <c r="G105" s="16" t="s">
        <v>190</v>
      </c>
      <c r="H105" s="11">
        <v>30</v>
      </c>
      <c r="I105" s="9">
        <v>120</v>
      </c>
    </row>
    <row r="106" spans="1:9" s="4" customFormat="1">
      <c r="A106" s="11"/>
      <c r="B106" s="19" t="s">
        <v>214</v>
      </c>
      <c r="C106" s="22"/>
      <c r="D106" s="10">
        <f>E106*F106</f>
        <v>60</v>
      </c>
      <c r="E106" s="14">
        <v>6</v>
      </c>
      <c r="F106" s="60">
        <f>H10</f>
        <v>10</v>
      </c>
      <c r="G106" s="16" t="s">
        <v>221</v>
      </c>
      <c r="H106" s="11">
        <v>3</v>
      </c>
      <c r="I106" s="9">
        <v>10</v>
      </c>
    </row>
    <row r="107" spans="1:9" s="4" customFormat="1">
      <c r="A107" s="11"/>
      <c r="B107" s="19" t="s">
        <v>215</v>
      </c>
      <c r="C107" s="22"/>
      <c r="D107" s="10">
        <f>E107*F107</f>
        <v>30</v>
      </c>
      <c r="E107" s="14">
        <v>3</v>
      </c>
      <c r="F107" s="60">
        <f>H10</f>
        <v>10</v>
      </c>
      <c r="H107" s="11">
        <v>1</v>
      </c>
      <c r="I107" s="9">
        <v>6</v>
      </c>
    </row>
    <row r="108" spans="1:9" s="4" customFormat="1">
      <c r="A108" s="11"/>
      <c r="B108" s="19" t="s">
        <v>217</v>
      </c>
      <c r="C108" s="22"/>
      <c r="D108" s="10">
        <f>E108*F108</f>
        <v>60</v>
      </c>
      <c r="E108" s="14">
        <v>6</v>
      </c>
      <c r="F108" s="60">
        <f>H10</f>
        <v>10</v>
      </c>
      <c r="H108" s="11">
        <v>3</v>
      </c>
      <c r="I108" s="9">
        <v>10</v>
      </c>
    </row>
    <row r="109" spans="1:9" s="4" customFormat="1">
      <c r="A109" s="11"/>
      <c r="B109" s="22" t="s">
        <v>64</v>
      </c>
      <c r="C109" s="20">
        <f>SUM(D110:D114)</f>
        <v>495</v>
      </c>
      <c r="D109" s="10"/>
      <c r="E109" s="24"/>
      <c r="F109" s="24"/>
      <c r="H109" s="11"/>
      <c r="I109" s="9"/>
    </row>
    <row r="110" spans="1:9" s="4" customFormat="1">
      <c r="A110" s="11"/>
      <c r="B110" s="19" t="s">
        <v>226</v>
      </c>
      <c r="C110" s="22"/>
      <c r="D110" s="10">
        <f>E110*F110</f>
        <v>90</v>
      </c>
      <c r="E110" s="14">
        <v>6</v>
      </c>
      <c r="F110" s="60">
        <f>H$11</f>
        <v>15</v>
      </c>
      <c r="G110" s="16" t="s">
        <v>220</v>
      </c>
      <c r="H110" s="11">
        <v>3</v>
      </c>
      <c r="I110" s="9">
        <v>10</v>
      </c>
    </row>
    <row r="111" spans="1:9" s="4" customFormat="1">
      <c r="A111" s="11"/>
      <c r="B111" s="19" t="s">
        <v>227</v>
      </c>
      <c r="C111" s="22"/>
      <c r="D111" s="10">
        <f>E111*F111</f>
        <v>45</v>
      </c>
      <c r="E111" s="14">
        <v>3</v>
      </c>
      <c r="F111" s="60">
        <f>H$11</f>
        <v>15</v>
      </c>
      <c r="H111" s="11">
        <v>1</v>
      </c>
      <c r="I111" s="9">
        <v>6</v>
      </c>
    </row>
    <row r="112" spans="1:9" s="4" customFormat="1">
      <c r="A112" s="11"/>
      <c r="B112" s="19" t="s">
        <v>228</v>
      </c>
      <c r="C112" s="22"/>
      <c r="D112" s="10">
        <f>E112*F112</f>
        <v>90</v>
      </c>
      <c r="E112" s="14">
        <v>6</v>
      </c>
      <c r="F112" s="60">
        <f>H$11</f>
        <v>15</v>
      </c>
      <c r="H112" s="11">
        <v>3</v>
      </c>
      <c r="I112" s="9">
        <v>10</v>
      </c>
    </row>
    <row r="113" spans="1:9" s="4" customFormat="1">
      <c r="A113" s="11"/>
      <c r="B113" s="19" t="s">
        <v>233</v>
      </c>
      <c r="C113" s="22"/>
      <c r="D113" s="10">
        <f>E113*F113</f>
        <v>90</v>
      </c>
      <c r="E113" s="14">
        <v>2</v>
      </c>
      <c r="F113" s="105">
        <f>H$11*H$21</f>
        <v>45</v>
      </c>
      <c r="G113" s="16" t="s">
        <v>211</v>
      </c>
      <c r="H113" s="11">
        <v>1</v>
      </c>
      <c r="I113" s="9">
        <v>6</v>
      </c>
    </row>
    <row r="114" spans="1:9" s="4" customFormat="1">
      <c r="A114" s="11"/>
      <c r="B114" s="19" t="s">
        <v>279</v>
      </c>
      <c r="C114" s="22"/>
      <c r="D114" s="10">
        <f>E114*F114</f>
        <v>180</v>
      </c>
      <c r="E114" s="14">
        <v>4</v>
      </c>
      <c r="F114" s="105">
        <f>H$11*H$21</f>
        <v>45</v>
      </c>
      <c r="H114" s="11">
        <v>1</v>
      </c>
      <c r="I114" s="65">
        <v>10</v>
      </c>
    </row>
    <row r="115" spans="1:9" s="4" customFormat="1">
      <c r="A115" s="11"/>
      <c r="B115" s="22" t="s">
        <v>63</v>
      </c>
      <c r="C115" s="20">
        <f>SUM(D116:D118)</f>
        <v>180</v>
      </c>
      <c r="D115" s="10"/>
      <c r="E115" s="24"/>
      <c r="F115" s="24"/>
      <c r="H115" s="11"/>
      <c r="I115" s="9"/>
    </row>
    <row r="116" spans="1:9" s="4" customFormat="1">
      <c r="A116" s="11"/>
      <c r="B116" s="19" t="s">
        <v>229</v>
      </c>
      <c r="C116" s="22"/>
      <c r="D116" s="10">
        <f>E116*F116</f>
        <v>60</v>
      </c>
      <c r="E116" s="14">
        <v>6</v>
      </c>
      <c r="F116" s="60">
        <f>H$10</f>
        <v>10</v>
      </c>
      <c r="G116" s="16" t="s">
        <v>212</v>
      </c>
      <c r="H116" s="11">
        <v>3</v>
      </c>
      <c r="I116" s="9">
        <v>9</v>
      </c>
    </row>
    <row r="117" spans="1:9" s="4" customFormat="1">
      <c r="A117" s="11"/>
      <c r="B117" s="19" t="s">
        <v>230</v>
      </c>
      <c r="C117" s="22"/>
      <c r="D117" s="10">
        <f>E117*F117</f>
        <v>60</v>
      </c>
      <c r="E117" s="14">
        <v>6</v>
      </c>
      <c r="F117" s="60">
        <f>H$10</f>
        <v>10</v>
      </c>
      <c r="H117" s="11">
        <v>1</v>
      </c>
      <c r="I117" s="9">
        <v>10</v>
      </c>
    </row>
    <row r="118" spans="1:9" s="4" customFormat="1">
      <c r="A118" s="11"/>
      <c r="B118" s="19" t="s">
        <v>231</v>
      </c>
      <c r="C118" s="22"/>
      <c r="D118" s="10">
        <f>E118*F118</f>
        <v>60</v>
      </c>
      <c r="E118" s="14">
        <v>6</v>
      </c>
      <c r="F118" s="60">
        <f>H$10</f>
        <v>10</v>
      </c>
      <c r="H118" s="11">
        <v>1</v>
      </c>
      <c r="I118" s="9">
        <v>10</v>
      </c>
    </row>
    <row r="119" spans="1:9" s="4" customFormat="1">
      <c r="A119" s="11"/>
      <c r="B119" s="22" t="s">
        <v>60</v>
      </c>
      <c r="C119" s="20">
        <f>SUM(D120:D124)</f>
        <v>270</v>
      </c>
      <c r="D119" s="10"/>
      <c r="E119" s="24"/>
      <c r="F119" s="24"/>
      <c r="H119" s="11"/>
      <c r="I119" s="9"/>
    </row>
    <row r="120" spans="1:9" s="4" customFormat="1">
      <c r="A120" s="11"/>
      <c r="B120" s="19" t="s">
        <v>232</v>
      </c>
      <c r="C120" s="22"/>
      <c r="D120" s="10">
        <f>E120*F120</f>
        <v>60</v>
      </c>
      <c r="E120" s="14">
        <v>6</v>
      </c>
      <c r="F120" s="60">
        <f>H$13</f>
        <v>10</v>
      </c>
      <c r="G120" s="16" t="s">
        <v>222</v>
      </c>
      <c r="H120" s="11">
        <v>3</v>
      </c>
      <c r="I120" s="9">
        <v>9</v>
      </c>
    </row>
    <row r="121" spans="1:9" s="4" customFormat="1">
      <c r="A121" s="11"/>
      <c r="B121" s="19" t="s">
        <v>235</v>
      </c>
      <c r="C121" s="22"/>
      <c r="D121" s="10">
        <f>E121*F121</f>
        <v>30</v>
      </c>
      <c r="E121" s="14">
        <v>3</v>
      </c>
      <c r="F121" s="60">
        <f>H$13</f>
        <v>10</v>
      </c>
      <c r="H121" s="11">
        <v>1</v>
      </c>
      <c r="I121" s="9">
        <v>5</v>
      </c>
    </row>
    <row r="122" spans="1:9" s="4" customFormat="1">
      <c r="A122" s="11"/>
      <c r="B122" s="19" t="s">
        <v>236</v>
      </c>
      <c r="C122" s="22"/>
      <c r="D122" s="10">
        <f>E122*F122</f>
        <v>30</v>
      </c>
      <c r="E122" s="14">
        <v>3</v>
      </c>
      <c r="F122" s="60">
        <f>H$13</f>
        <v>10</v>
      </c>
      <c r="G122" s="16"/>
      <c r="H122" s="11">
        <v>1</v>
      </c>
      <c r="I122" s="9">
        <v>5</v>
      </c>
    </row>
    <row r="123" spans="1:9" s="4" customFormat="1">
      <c r="A123" s="11"/>
      <c r="B123" s="19" t="s">
        <v>233</v>
      </c>
      <c r="C123" s="22"/>
      <c r="D123" s="10">
        <f>E123*F123</f>
        <v>60</v>
      </c>
      <c r="E123" s="14">
        <v>2</v>
      </c>
      <c r="F123" s="105">
        <f>H$13*H$21</f>
        <v>30</v>
      </c>
      <c r="G123" s="16" t="s">
        <v>244</v>
      </c>
      <c r="H123" s="11">
        <v>1</v>
      </c>
      <c r="I123" s="9">
        <v>6</v>
      </c>
    </row>
    <row r="124" spans="1:9" s="4" customFormat="1">
      <c r="A124" s="11"/>
      <c r="B124" s="19" t="s">
        <v>279</v>
      </c>
      <c r="C124" s="22"/>
      <c r="D124" s="10">
        <f>E124*F124</f>
        <v>90</v>
      </c>
      <c r="E124" s="14">
        <v>3</v>
      </c>
      <c r="F124" s="105">
        <f>H$13*H$21</f>
        <v>30</v>
      </c>
      <c r="H124" s="11">
        <v>1</v>
      </c>
      <c r="I124" s="65">
        <v>10</v>
      </c>
    </row>
    <row r="125" spans="1:9" s="4" customFormat="1">
      <c r="A125" s="11"/>
      <c r="B125" s="22" t="s">
        <v>61</v>
      </c>
      <c r="C125" s="20">
        <f>SUM(D126:D130)</f>
        <v>270</v>
      </c>
      <c r="D125" s="10"/>
      <c r="E125" s="24"/>
      <c r="F125" s="24"/>
      <c r="H125" s="11"/>
      <c r="I125" s="9"/>
    </row>
    <row r="126" spans="1:9" s="4" customFormat="1">
      <c r="A126" s="11"/>
      <c r="B126" s="19" t="s">
        <v>237</v>
      </c>
      <c r="C126" s="22"/>
      <c r="D126" s="10">
        <f>E126*F126</f>
        <v>60</v>
      </c>
      <c r="E126" s="14">
        <v>6</v>
      </c>
      <c r="F126" s="60">
        <f>H$13</f>
        <v>10</v>
      </c>
      <c r="G126" s="16" t="s">
        <v>126</v>
      </c>
      <c r="H126" s="11">
        <v>3</v>
      </c>
      <c r="I126" s="9">
        <v>9</v>
      </c>
    </row>
    <row r="127" spans="1:9" s="4" customFormat="1">
      <c r="A127" s="11"/>
      <c r="B127" s="19" t="s">
        <v>238</v>
      </c>
      <c r="C127" s="22"/>
      <c r="D127" s="10">
        <f>E127*F127</f>
        <v>30</v>
      </c>
      <c r="E127" s="14">
        <v>3</v>
      </c>
      <c r="F127" s="60">
        <f>H$13</f>
        <v>10</v>
      </c>
      <c r="G127" s="16"/>
      <c r="H127" s="11">
        <v>1</v>
      </c>
      <c r="I127" s="9">
        <v>5</v>
      </c>
    </row>
    <row r="128" spans="1:9" s="4" customFormat="1">
      <c r="A128" s="11"/>
      <c r="B128" s="19" t="s">
        <v>239</v>
      </c>
      <c r="C128" s="22"/>
      <c r="D128" s="10">
        <f>E128*F128</f>
        <v>30</v>
      </c>
      <c r="E128" s="14">
        <v>3</v>
      </c>
      <c r="F128" s="60">
        <f>H$13</f>
        <v>10</v>
      </c>
      <c r="G128" s="16"/>
      <c r="H128" s="11">
        <v>1</v>
      </c>
      <c r="I128" s="9">
        <v>5</v>
      </c>
    </row>
    <row r="129" spans="1:9" s="4" customFormat="1">
      <c r="A129" s="11"/>
      <c r="B129" s="19" t="s">
        <v>233</v>
      </c>
      <c r="C129" s="22"/>
      <c r="D129" s="10">
        <f>E129*F129</f>
        <v>60</v>
      </c>
      <c r="E129" s="14">
        <v>2</v>
      </c>
      <c r="F129" s="105">
        <f>H$13*H$21</f>
        <v>30</v>
      </c>
      <c r="G129" s="16" t="s">
        <v>245</v>
      </c>
      <c r="H129" s="11">
        <v>1</v>
      </c>
      <c r="I129" s="9">
        <v>6</v>
      </c>
    </row>
    <row r="130" spans="1:9" s="4" customFormat="1">
      <c r="A130" s="11"/>
      <c r="B130" s="19" t="s">
        <v>279</v>
      </c>
      <c r="C130" s="22"/>
      <c r="D130" s="10">
        <f>E130*F130</f>
        <v>90</v>
      </c>
      <c r="E130" s="14">
        <v>3</v>
      </c>
      <c r="F130" s="105">
        <f>H$13*H$21</f>
        <v>30</v>
      </c>
      <c r="G130" s="16"/>
      <c r="H130" s="11">
        <v>1</v>
      </c>
      <c r="I130" s="65">
        <v>10</v>
      </c>
    </row>
    <row r="131" spans="1:9" s="4" customFormat="1">
      <c r="A131" s="11"/>
      <c r="B131" s="22" t="s">
        <v>62</v>
      </c>
      <c r="C131" s="20">
        <f>SUM(D132:D135)</f>
        <v>600</v>
      </c>
      <c r="D131" s="10"/>
      <c r="E131" s="24"/>
      <c r="F131" s="24"/>
      <c r="H131" s="11"/>
      <c r="I131" s="9"/>
    </row>
    <row r="132" spans="1:9" s="4" customFormat="1">
      <c r="A132" s="11"/>
      <c r="B132" s="19" t="s">
        <v>280</v>
      </c>
      <c r="C132" s="20"/>
      <c r="D132" s="10">
        <f xml:space="preserve"> E132</f>
        <v>120</v>
      </c>
      <c r="E132" s="14">
        <v>120</v>
      </c>
      <c r="F132" s="9" t="s">
        <v>56</v>
      </c>
      <c r="G132" s="16" t="s">
        <v>182</v>
      </c>
      <c r="H132" s="11">
        <v>60</v>
      </c>
      <c r="I132" s="9">
        <v>180</v>
      </c>
    </row>
    <row r="133" spans="1:9" s="4" customFormat="1">
      <c r="A133" s="11"/>
      <c r="B133" s="19" t="s">
        <v>240</v>
      </c>
      <c r="C133" s="22"/>
      <c r="D133" s="10">
        <f>E133*F133</f>
        <v>120</v>
      </c>
      <c r="E133" s="14">
        <v>6</v>
      </c>
      <c r="F133" s="60">
        <f>H$19</f>
        <v>20</v>
      </c>
      <c r="G133" s="16" t="s">
        <v>125</v>
      </c>
      <c r="H133" s="11">
        <v>3</v>
      </c>
      <c r="I133" s="9">
        <v>10</v>
      </c>
    </row>
    <row r="134" spans="1:9" s="4" customFormat="1">
      <c r="A134" s="11"/>
      <c r="B134" s="19" t="s">
        <v>241</v>
      </c>
      <c r="C134" s="22"/>
      <c r="D134" s="10">
        <f>E134*F134</f>
        <v>120</v>
      </c>
      <c r="E134" s="14">
        <v>6</v>
      </c>
      <c r="F134" s="60">
        <f>H$19</f>
        <v>20</v>
      </c>
      <c r="G134" s="16"/>
      <c r="H134" s="11">
        <v>1</v>
      </c>
      <c r="I134" s="9">
        <v>5</v>
      </c>
    </row>
    <row r="135" spans="1:9" s="4" customFormat="1">
      <c r="A135" s="11"/>
      <c r="B135" s="19" t="s">
        <v>242</v>
      </c>
      <c r="C135" s="22"/>
      <c r="D135" s="10">
        <f>E135*F135</f>
        <v>240</v>
      </c>
      <c r="E135" s="14">
        <v>12</v>
      </c>
      <c r="F135" s="60">
        <f>H$19</f>
        <v>20</v>
      </c>
      <c r="G135" s="16"/>
      <c r="H135" s="11">
        <v>3</v>
      </c>
      <c r="I135" s="9">
        <v>20</v>
      </c>
    </row>
    <row r="136" spans="1:9" s="4" customFormat="1">
      <c r="A136" s="11"/>
      <c r="B136" s="12"/>
      <c r="C136" s="22"/>
      <c r="D136" s="10"/>
      <c r="E136" s="9"/>
      <c r="F136" s="9"/>
      <c r="G136" s="12"/>
      <c r="H136" s="11"/>
      <c r="I136" s="9"/>
    </row>
    <row r="137" spans="1:9">
      <c r="C137" s="8"/>
      <c r="D137" s="10"/>
      <c r="E137" s="22"/>
      <c r="F137" s="12"/>
    </row>
    <row r="138" spans="1:9">
      <c r="D138" s="13"/>
      <c r="E138" s="22"/>
      <c r="F138" s="12"/>
    </row>
    <row r="139" spans="1:9">
      <c r="D139" s="8"/>
      <c r="E139" s="8"/>
      <c r="F139" s="8"/>
      <c r="H139" s="8"/>
      <c r="I139" s="8"/>
    </row>
    <row r="140" spans="1:9">
      <c r="D140" s="8"/>
      <c r="E140" s="8"/>
      <c r="F140" s="8"/>
      <c r="H140" s="8"/>
      <c r="I140" s="8"/>
    </row>
    <row r="141" spans="1:9">
      <c r="D141" s="8"/>
      <c r="E141" s="8"/>
      <c r="F141" s="8"/>
      <c r="H141" s="8"/>
      <c r="I141" s="8"/>
    </row>
    <row r="142" spans="1:9">
      <c r="D142" s="8"/>
      <c r="E142" s="8"/>
      <c r="F142" s="8"/>
      <c r="H142" s="8"/>
      <c r="I142" s="8"/>
    </row>
    <row r="143" spans="1:9">
      <c r="D143" s="8"/>
      <c r="E143" s="8"/>
      <c r="F143" s="8"/>
      <c r="H143" s="8"/>
      <c r="I143" s="8"/>
    </row>
    <row r="144" spans="1:9">
      <c r="D144" s="8"/>
      <c r="E144" s="8"/>
      <c r="F144" s="8"/>
      <c r="H144" s="8"/>
      <c r="I144" s="8"/>
    </row>
    <row r="145" spans="4:9">
      <c r="D145" s="8"/>
      <c r="E145" s="8"/>
      <c r="F145" s="8"/>
      <c r="H145" s="8"/>
      <c r="I145" s="8"/>
    </row>
    <row r="146" spans="4:9">
      <c r="D146" s="8"/>
      <c r="E146" s="8"/>
      <c r="F146" s="8"/>
      <c r="H146" s="8"/>
      <c r="I146" s="8"/>
    </row>
    <row r="147" spans="4:9">
      <c r="D147" s="8"/>
      <c r="E147" s="8"/>
      <c r="F147" s="8"/>
      <c r="H147" s="8"/>
      <c r="I147" s="8"/>
    </row>
    <row r="148" spans="4:9">
      <c r="D148" s="8"/>
      <c r="E148" s="8"/>
      <c r="F148" s="8"/>
      <c r="H148" s="8"/>
      <c r="I148" s="8"/>
    </row>
    <row r="149" spans="4:9">
      <c r="D149" s="8"/>
    </row>
    <row r="150" spans="4:9">
      <c r="D150" s="8"/>
    </row>
    <row r="151" spans="4:9">
      <c r="D151" s="8"/>
    </row>
    <row r="152" spans="4:9">
      <c r="D152" s="8"/>
    </row>
    <row r="153" spans="4:9">
      <c r="D153" s="8"/>
    </row>
    <row r="154" spans="4:9">
      <c r="D154" s="8"/>
    </row>
    <row r="155" spans="4:9">
      <c r="D155" s="8"/>
    </row>
    <row r="156" spans="4:9">
      <c r="D156" s="8"/>
    </row>
    <row r="157" spans="4:9">
      <c r="D157" s="8"/>
    </row>
    <row r="158" spans="4:9">
      <c r="D158" s="8"/>
    </row>
    <row r="159" spans="4:9">
      <c r="D159" s="8"/>
    </row>
    <row r="160" spans="4:9">
      <c r="D160" s="8"/>
    </row>
    <row r="161" spans="4:4">
      <c r="D161" s="8"/>
    </row>
    <row r="162" spans="4:4">
      <c r="D162" s="8"/>
    </row>
    <row r="163" spans="4:4">
      <c r="D163" s="8"/>
    </row>
    <row r="164" spans="4:4">
      <c r="D164" s="8"/>
    </row>
    <row r="165" spans="4:4">
      <c r="D165" s="8"/>
    </row>
    <row r="166" spans="4:4">
      <c r="D166" s="8"/>
    </row>
    <row r="167" spans="4:4">
      <c r="D167" s="8"/>
    </row>
  </sheetData>
  <phoneticPr fontId="10" type="noConversion"/>
  <printOptions gridLines="1"/>
  <pageMargins left="0.25" right="0.25" top="0.75" bottom="0.75" header="0.3" footer="0.3"/>
  <pageSetup scale="80" fitToHeight="0" orientation="landscape" r:id="rId1"/>
  <headerFooter>
    <oddHeader>&amp;C&amp;K00-046Requirements Estimation Tool&amp;A&amp;R&amp;K00-046Page &amp;P of &amp;N</oddHeader>
  </headerFooter>
  <rowBreaks count="3" manualBreakCount="3">
    <brk id="36" max="16383" man="1"/>
    <brk id="71" max="16383" man="1"/>
    <brk id="108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Status xmlns="212ae132-ce2c-4ea9-86c3-cef527195ff0">Submitted</Status>
    <Topic xmlns="212ae132-ce2c-4ea9-86c3-cef527195ff0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99DD660B6B71F48B6F6AAD05F3557E3" ma:contentTypeVersion="3" ma:contentTypeDescription="Create a new document." ma:contentTypeScope="" ma:versionID="d9a98ae9a889462a0c42cfd01159bad9">
  <xsd:schema xmlns:xsd="http://www.w3.org/2001/XMLSchema" xmlns:p="http://schemas.microsoft.com/office/2006/metadata/properties" xmlns:ns2="212ae132-ce2c-4ea9-86c3-cef527195ff0" targetNamespace="http://schemas.microsoft.com/office/2006/metadata/properties" ma:root="true" ma:fieldsID="67a5f656763d690ac007f3e743a272b1" ns2:_="">
    <xsd:import namespace="212ae132-ce2c-4ea9-86c3-cef527195ff0"/>
    <xsd:element name="properties">
      <xsd:complexType>
        <xsd:sequence>
          <xsd:element name="documentManagement">
            <xsd:complexType>
              <xsd:all>
                <xsd:element ref="ns2:Topic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212ae132-ce2c-4ea9-86c3-cef527195ff0" elementFormDefault="qualified">
    <xsd:import namespace="http://schemas.microsoft.com/office/2006/documentManagement/types"/>
    <xsd:element name="Topic" ma:index="1" nillable="true" ma:displayName="Topic" ma:default="" ma:internalName="Topic">
      <xsd:simpleType>
        <xsd:restriction base="dms:Text">
          <xsd:maxLength value="255"/>
        </xsd:restriction>
      </xsd:simpleType>
    </xsd:element>
    <xsd:element name="Status" ma:index="3" nillable="true" ma:displayName="Status" ma:default="Submitted" ma:format="Dropdown" ma:internalName="Status">
      <xsd:simpleType>
        <xsd:restriction base="dms:Choice">
          <xsd:enumeration value="Submitted"/>
          <xsd:enumeration value="In Review"/>
          <xsd:enumeration value="Reviewed"/>
          <xsd:enumeration value="Approved"/>
          <xsd:enumeration value="In Edit"/>
          <xsd:enumeration value="Deprecated"/>
          <xsd:enumeration value="Final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Content Type" ma:readOnly="tru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C8143C3B-76EF-4500-B7FD-A241A9AC32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2BD4386-19E8-4B8E-82B5-D9B846FED5C5}">
  <ds:schemaRefs>
    <ds:schemaRef ds:uri="http://www.w3.org/XML/1998/namespace"/>
    <ds:schemaRef ds:uri="http://purl.org/dc/dcmitype/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212ae132-ce2c-4ea9-86c3-cef527195ff0"/>
  </ds:schemaRefs>
</ds:datastoreItem>
</file>

<file path=customXml/itemProps3.xml><?xml version="1.0" encoding="utf-8"?>
<ds:datastoreItem xmlns:ds="http://schemas.openxmlformats.org/officeDocument/2006/customXml" ds:itemID="{4BC196A9-EAA8-40D7-9CE2-7EB63CACB2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12ae132-ce2c-4ea9-86c3-cef527195ff0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Instrukcja</vt:lpstr>
      <vt:lpstr>Podsumowanie</vt:lpstr>
      <vt:lpstr>Założenia</vt:lpstr>
      <vt:lpstr>Podsumowanie!Tytuły_wydruku</vt:lpstr>
      <vt:lpstr>Założenia!Tytuły_wydruku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Requirements Estimation Template</dc:title>
  <dc:creator>jbeatty</dc:creator>
  <cp:lastModifiedBy>Tomasz Rycharski</cp:lastModifiedBy>
  <cp:lastPrinted>2013-06-12T03:13:59Z</cp:lastPrinted>
  <dcterms:created xsi:type="dcterms:W3CDTF">2009-05-20T21:41:02Z</dcterms:created>
  <dcterms:modified xsi:type="dcterms:W3CDTF">2014-10-09T12:09:45Z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0x010100999DD660B6B71F48B6F6AAD05F3557E3</vt:lpwstr>
  </property>
  <property fmtid="{D5CDD505-2E9C-101B-9397-08002B2CF9AE}" pid="3" name="Status">
    <vt:lpwstr>Submitted</vt:lpwstr>
  </property>
  <property fmtid="{D5CDD505-2E9C-101B-9397-08002B2CF9AE}" pid="4" name="Topic">
    <vt:lpwstr/>
  </property>
</Properties>
</file>